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5440" windowHeight="12015"/>
  </bookViews>
  <sheets>
    <sheet name="Приложение_1" sheetId="12" r:id="rId1"/>
    <sheet name="Приложение 2" sheetId="3" r:id="rId2"/>
    <sheet name="Приложение 3" sheetId="1" r:id="rId3"/>
    <sheet name="Приложение 4" sheetId="14" r:id="rId4"/>
    <sheet name="Приложение 5" sheetId="6" r:id="rId5"/>
    <sheet name="Приложение 6" sheetId="9" r:id="rId6"/>
  </sheets>
  <externalReferences>
    <externalReference r:id="rId7"/>
    <externalReference r:id="rId8"/>
  </externalReferences>
  <definedNames>
    <definedName name="_xlnm._FilterDatabase" localSheetId="1" hidden="1">'Приложение 2'!$A$12:$H$240</definedName>
    <definedName name="_xlnm._FilterDatabase" localSheetId="2" hidden="1">'Приложение 3'!$A$14:$G$369</definedName>
    <definedName name="_xlnm.Print_Area" localSheetId="0">Приложение_1!$A$1:$E$127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C41" i="12" l="1"/>
  <c r="C16" i="12"/>
  <c r="E26" i="9"/>
  <c r="D26" i="9"/>
  <c r="C26" i="9" l="1"/>
  <c r="C42" i="6" l="1"/>
  <c r="F240" i="3"/>
  <c r="F26" i="3" l="1"/>
  <c r="F27" i="3"/>
  <c r="C33" i="6" l="1"/>
  <c r="C34" i="6"/>
  <c r="G240" i="3" l="1"/>
  <c r="F130" i="1" l="1"/>
  <c r="H200" i="14"/>
  <c r="I200" i="14"/>
  <c r="G200" i="14"/>
  <c r="G201" i="14"/>
  <c r="G202" i="14"/>
  <c r="F133" i="1" s="1"/>
  <c r="G133" i="1"/>
  <c r="H133" i="1"/>
  <c r="G204" i="14"/>
  <c r="D32" i="6"/>
  <c r="G113" i="1" l="1"/>
  <c r="H113" i="1"/>
  <c r="F113" i="1"/>
  <c r="F58" i="3" l="1"/>
  <c r="G270" i="14" l="1"/>
  <c r="G264" i="14"/>
  <c r="G506" i="14" l="1"/>
  <c r="G434" i="14"/>
  <c r="G330" i="14" l="1"/>
  <c r="G302" i="14"/>
  <c r="G236" i="14"/>
  <c r="G232" i="14"/>
  <c r="G349" i="1" l="1"/>
  <c r="H349" i="1"/>
  <c r="F349" i="1"/>
  <c r="H527" i="14"/>
  <c r="I527" i="14"/>
  <c r="G527" i="14"/>
  <c r="G529" i="14"/>
  <c r="G526" i="14"/>
  <c r="G525" i="14"/>
  <c r="G329" i="14"/>
  <c r="G379" i="14" l="1"/>
  <c r="G360" i="14"/>
  <c r="G359" i="14"/>
  <c r="G349" i="14"/>
  <c r="G391" i="14"/>
  <c r="C40" i="6"/>
  <c r="G330" i="1"/>
  <c r="H330" i="1"/>
  <c r="F330" i="1"/>
  <c r="G496" i="14"/>
  <c r="G494" i="14" s="1"/>
  <c r="H494" i="14"/>
  <c r="I494" i="14"/>
  <c r="G332" i="14"/>
  <c r="G299" i="1"/>
  <c r="H299" i="1"/>
  <c r="F299" i="1"/>
  <c r="H446" i="14"/>
  <c r="I446" i="14"/>
  <c r="G446" i="14"/>
  <c r="G114" i="1"/>
  <c r="H114" i="1"/>
  <c r="F114" i="1"/>
  <c r="G237" i="14"/>
  <c r="G235" i="14"/>
  <c r="G373" i="14"/>
  <c r="G231" i="14"/>
  <c r="G215" i="14"/>
  <c r="G300" i="14"/>
  <c r="G371" i="14" l="1"/>
  <c r="F243" i="1"/>
  <c r="G243" i="1"/>
  <c r="H243" i="1"/>
  <c r="H370" i="14"/>
  <c r="I370" i="14"/>
  <c r="H369" i="14"/>
  <c r="I369" i="14"/>
  <c r="G370" i="14"/>
  <c r="D56" i="12"/>
  <c r="E56" i="12"/>
  <c r="C56" i="12"/>
  <c r="H236" i="3" l="1"/>
  <c r="H235" i="3" s="1"/>
  <c r="H234" i="3" s="1"/>
  <c r="H233" i="3" s="1"/>
  <c r="G364" i="1"/>
  <c r="H364" i="1"/>
  <c r="F364" i="1"/>
  <c r="F354" i="1"/>
  <c r="G354" i="1"/>
  <c r="H354" i="1"/>
  <c r="F355" i="1"/>
  <c r="G355" i="1"/>
  <c r="H355" i="1"/>
  <c r="F353" i="1"/>
  <c r="G353" i="1"/>
  <c r="H353" i="1"/>
  <c r="G352" i="1"/>
  <c r="H352" i="1"/>
  <c r="F352" i="1"/>
  <c r="G350" i="1"/>
  <c r="H350" i="1"/>
  <c r="F350" i="1"/>
  <c r="G339" i="1"/>
  <c r="H339" i="1"/>
  <c r="F339" i="1"/>
  <c r="G335" i="1"/>
  <c r="H335" i="1"/>
  <c r="G336" i="1"/>
  <c r="H336" i="1"/>
  <c r="F336" i="1"/>
  <c r="F335" i="1"/>
  <c r="G331" i="1"/>
  <c r="H331" i="1"/>
  <c r="F331" i="1"/>
  <c r="G329" i="1"/>
  <c r="H329" i="1"/>
  <c r="F329" i="1"/>
  <c r="G320" i="1"/>
  <c r="H320" i="1"/>
  <c r="F320" i="1"/>
  <c r="G317" i="1"/>
  <c r="H317" i="1"/>
  <c r="F317" i="1"/>
  <c r="G314" i="1"/>
  <c r="H314" i="1"/>
  <c r="G315" i="1"/>
  <c r="H315" i="1"/>
  <c r="F315" i="1"/>
  <c r="F314" i="1"/>
  <c r="G310" i="1"/>
  <c r="H310" i="1"/>
  <c r="G311" i="1"/>
  <c r="H311" i="1"/>
  <c r="F311" i="1"/>
  <c r="F310" i="1"/>
  <c r="G305" i="1"/>
  <c r="H305" i="1"/>
  <c r="F305" i="1"/>
  <c r="G303" i="1"/>
  <c r="H303" i="1"/>
  <c r="F303" i="1"/>
  <c r="G302" i="1"/>
  <c r="H302" i="1"/>
  <c r="F302" i="1"/>
  <c r="G298" i="1"/>
  <c r="H298" i="1"/>
  <c r="F298" i="1"/>
  <c r="G297" i="1"/>
  <c r="H297" i="1"/>
  <c r="F297" i="1"/>
  <c r="G296" i="1"/>
  <c r="H296" i="1"/>
  <c r="F296" i="1"/>
  <c r="G289" i="1"/>
  <c r="H289" i="1"/>
  <c r="F289" i="1"/>
  <c r="G284" i="1"/>
  <c r="H284" i="1"/>
  <c r="F284" i="1"/>
  <c r="G273" i="1"/>
  <c r="H273" i="1"/>
  <c r="G274" i="1"/>
  <c r="H274" i="1"/>
  <c r="F274" i="1"/>
  <c r="F273" i="1"/>
  <c r="G263" i="1"/>
  <c r="H263" i="1"/>
  <c r="G264" i="1"/>
  <c r="H264" i="1"/>
  <c r="G265" i="1"/>
  <c r="H265" i="1"/>
  <c r="F264" i="1"/>
  <c r="F265" i="1"/>
  <c r="F263" i="1"/>
  <c r="G261" i="1"/>
  <c r="H261" i="1"/>
  <c r="F261" i="1"/>
  <c r="G259" i="1"/>
  <c r="H259" i="1"/>
  <c r="F259" i="1"/>
  <c r="G257" i="1"/>
  <c r="H257" i="1"/>
  <c r="F257" i="1"/>
  <c r="G246" i="1"/>
  <c r="H246" i="1"/>
  <c r="F246" i="1"/>
  <c r="G241" i="1"/>
  <c r="H241" i="1"/>
  <c r="G242" i="1"/>
  <c r="H242" i="1"/>
  <c r="G244" i="1"/>
  <c r="H244" i="1"/>
  <c r="G245" i="1"/>
  <c r="H245" i="1"/>
  <c r="F244" i="1"/>
  <c r="F245" i="1"/>
  <c r="F241" i="1"/>
  <c r="G239" i="1"/>
  <c r="H239" i="1"/>
  <c r="F239" i="1"/>
  <c r="G237" i="1"/>
  <c r="H237" i="1"/>
  <c r="F237" i="1"/>
  <c r="G232" i="1"/>
  <c r="H232" i="1"/>
  <c r="G233" i="1"/>
  <c r="H233" i="1"/>
  <c r="G234" i="1"/>
  <c r="H234" i="1"/>
  <c r="G235" i="1"/>
  <c r="H235" i="1"/>
  <c r="F233" i="1"/>
  <c r="F234" i="1"/>
  <c r="F232" i="1"/>
  <c r="G230" i="1"/>
  <c r="H230" i="1"/>
  <c r="F230" i="1"/>
  <c r="G224" i="1"/>
  <c r="H224" i="1"/>
  <c r="G225" i="1"/>
  <c r="H225" i="1"/>
  <c r="F225" i="1"/>
  <c r="F224" i="1"/>
  <c r="G222" i="1"/>
  <c r="H222" i="1"/>
  <c r="F222" i="1"/>
  <c r="G219" i="1"/>
  <c r="H219" i="1"/>
  <c r="G220" i="1"/>
  <c r="H220" i="1"/>
  <c r="F220" i="1"/>
  <c r="F219" i="1"/>
  <c r="G217" i="1"/>
  <c r="H217" i="1"/>
  <c r="F217" i="1"/>
  <c r="G216" i="1"/>
  <c r="H216" i="1"/>
  <c r="F216" i="1"/>
  <c r="H215" i="1"/>
  <c r="G215" i="1"/>
  <c r="F215" i="1"/>
  <c r="G207" i="1"/>
  <c r="H207" i="1"/>
  <c r="F207" i="1"/>
  <c r="G204" i="1"/>
  <c r="H204" i="1"/>
  <c r="F204" i="1"/>
  <c r="G200" i="1"/>
  <c r="H200" i="1"/>
  <c r="G201" i="1"/>
  <c r="H201" i="1"/>
  <c r="F201" i="1"/>
  <c r="F200" i="1"/>
  <c r="G197" i="1"/>
  <c r="H197" i="1"/>
  <c r="F197" i="1"/>
  <c r="G194" i="1"/>
  <c r="H194" i="1"/>
  <c r="F194" i="1"/>
  <c r="G191" i="1"/>
  <c r="H191" i="1"/>
  <c r="F191" i="1"/>
  <c r="G184" i="1"/>
  <c r="H184" i="1"/>
  <c r="G178" i="1"/>
  <c r="H178" i="1"/>
  <c r="G179" i="1"/>
  <c r="H179" i="1"/>
  <c r="G180" i="1"/>
  <c r="H180" i="1"/>
  <c r="F179" i="1"/>
  <c r="F180" i="1"/>
  <c r="G173" i="1"/>
  <c r="H173" i="1"/>
  <c r="G174" i="1"/>
  <c r="H174" i="1"/>
  <c r="G175" i="1"/>
  <c r="H175" i="1"/>
  <c r="F174" i="1"/>
  <c r="F175" i="1"/>
  <c r="F173" i="1"/>
  <c r="G171" i="1"/>
  <c r="H171" i="1"/>
  <c r="F171" i="1"/>
  <c r="H295" i="1" l="1"/>
  <c r="G295" i="1"/>
  <c r="F295" i="1"/>
  <c r="H231" i="1"/>
  <c r="G231" i="1"/>
  <c r="H177" i="1"/>
  <c r="G177" i="1"/>
  <c r="G161" i="1"/>
  <c r="H161" i="1"/>
  <c r="F161" i="1"/>
  <c r="G158" i="1"/>
  <c r="H158" i="1"/>
  <c r="F158" i="1"/>
  <c r="G157" i="1"/>
  <c r="H157" i="1"/>
  <c r="F157" i="1"/>
  <c r="G156" i="1"/>
  <c r="H156" i="1"/>
  <c r="F156" i="1"/>
  <c r="G155" i="1"/>
  <c r="H155" i="1"/>
  <c r="F155" i="1"/>
  <c r="G152" i="1"/>
  <c r="H152" i="1"/>
  <c r="G153" i="1"/>
  <c r="H153" i="1"/>
  <c r="F153" i="1"/>
  <c r="F152" i="1"/>
  <c r="G149" i="1"/>
  <c r="H149" i="1"/>
  <c r="G150" i="1"/>
  <c r="H150" i="1"/>
  <c r="F150" i="1"/>
  <c r="F149" i="1"/>
  <c r="G138" i="1"/>
  <c r="H138" i="1"/>
  <c r="G139" i="1"/>
  <c r="H139" i="1"/>
  <c r="G140" i="1"/>
  <c r="H140" i="1"/>
  <c r="G141" i="1"/>
  <c r="H141" i="1"/>
  <c r="F139" i="1"/>
  <c r="F140" i="1"/>
  <c r="F141" i="1"/>
  <c r="F138" i="1"/>
  <c r="G131" i="1"/>
  <c r="H131" i="1"/>
  <c r="F131" i="1"/>
  <c r="G116" i="1"/>
  <c r="H116" i="1"/>
  <c r="G117" i="1"/>
  <c r="H117" i="1"/>
  <c r="G118" i="1"/>
  <c r="H118" i="1"/>
  <c r="F117" i="1"/>
  <c r="F118" i="1"/>
  <c r="F116" i="1"/>
  <c r="G112" i="1"/>
  <c r="H112" i="1"/>
  <c r="F112" i="1"/>
  <c r="G109" i="1"/>
  <c r="H109" i="1"/>
  <c r="F109" i="1"/>
  <c r="G107" i="1"/>
  <c r="H107" i="1"/>
  <c r="F107" i="1"/>
  <c r="G103" i="1"/>
  <c r="H103" i="1"/>
  <c r="F103" i="1"/>
  <c r="G93" i="1"/>
  <c r="H93" i="1"/>
  <c r="G94" i="1"/>
  <c r="H94" i="1"/>
  <c r="F94" i="1"/>
  <c r="F93" i="1"/>
  <c r="G91" i="1"/>
  <c r="H91" i="1"/>
  <c r="F91" i="1"/>
  <c r="G59" i="1"/>
  <c r="H59" i="1"/>
  <c r="G60" i="1"/>
  <c r="H60" i="1"/>
  <c r="G61" i="1"/>
  <c r="H61" i="1"/>
  <c r="F60" i="1"/>
  <c r="F61" i="1"/>
  <c r="F59" i="1"/>
  <c r="G57" i="1"/>
  <c r="H57" i="1"/>
  <c r="F57" i="1"/>
  <c r="G53" i="1"/>
  <c r="H53" i="1"/>
  <c r="G54" i="1"/>
  <c r="H54" i="1"/>
  <c r="G55" i="1"/>
  <c r="H55" i="1"/>
  <c r="F55" i="1"/>
  <c r="F54" i="1"/>
  <c r="F53" i="1"/>
  <c r="G49" i="1"/>
  <c r="H49" i="1"/>
  <c r="F49" i="1"/>
  <c r="G374" i="14" l="1"/>
  <c r="F242" i="1" s="1"/>
  <c r="F240" i="1" s="1"/>
  <c r="G58" i="3" l="1"/>
  <c r="H50" i="14" l="1"/>
  <c r="H49" i="14" s="1"/>
  <c r="H48" i="14" s="1"/>
  <c r="H47" i="14" s="1"/>
  <c r="H46" i="14" s="1"/>
  <c r="I50" i="14"/>
  <c r="I49" i="14" s="1"/>
  <c r="I48" i="14" s="1"/>
  <c r="I47" i="14" s="1"/>
  <c r="I46" i="14" s="1"/>
  <c r="G50" i="14"/>
  <c r="F41" i="1" s="1"/>
  <c r="G532" i="14"/>
  <c r="G533" i="14"/>
  <c r="G490" i="14"/>
  <c r="G362" i="14"/>
  <c r="F235" i="1" s="1"/>
  <c r="G269" i="14"/>
  <c r="F178" i="1" s="1"/>
  <c r="F231" i="1" l="1"/>
  <c r="H41" i="1"/>
  <c r="H40" i="1" s="1"/>
  <c r="H39" i="1" s="1"/>
  <c r="H38" i="1" s="1"/>
  <c r="F177" i="1"/>
  <c r="G49" i="14"/>
  <c r="G48" i="14" s="1"/>
  <c r="G47" i="14" s="1"/>
  <c r="G46" i="14" s="1"/>
  <c r="G41" i="1"/>
  <c r="G238" i="14"/>
  <c r="G214" i="14"/>
  <c r="G165" i="14"/>
  <c r="F184" i="1"/>
  <c r="G85" i="14"/>
  <c r="G67" i="14" l="1"/>
  <c r="C41" i="6"/>
  <c r="G523" i="14"/>
  <c r="G398" i="14"/>
  <c r="G78" i="14"/>
  <c r="G134" i="14"/>
  <c r="F87" i="3"/>
  <c r="F162" i="3" l="1"/>
  <c r="C35" i="6" l="1"/>
  <c r="F97" i="3"/>
  <c r="H105" i="14"/>
  <c r="I105" i="14"/>
  <c r="G105" i="14"/>
  <c r="G70" i="1"/>
  <c r="H70" i="1"/>
  <c r="F70" i="1"/>
  <c r="F91" i="3"/>
  <c r="F88" i="3"/>
  <c r="G66" i="1"/>
  <c r="H66" i="1"/>
  <c r="F66" i="1"/>
  <c r="F82" i="3"/>
  <c r="F80" i="3"/>
  <c r="F48" i="3" l="1"/>
  <c r="C123" i="12" l="1"/>
  <c r="C125" i="12"/>
  <c r="C126" i="12"/>
  <c r="D91" i="12" l="1"/>
  <c r="E91" i="12"/>
  <c r="C91" i="12"/>
  <c r="H190" i="14" l="1"/>
  <c r="H189" i="14" s="1"/>
  <c r="H188" i="14" s="1"/>
  <c r="H187" i="14" s="1"/>
  <c r="I190" i="14"/>
  <c r="I189" i="14" s="1"/>
  <c r="I188" i="14" s="1"/>
  <c r="I187" i="14" s="1"/>
  <c r="G190" i="14"/>
  <c r="G189" i="14" s="1"/>
  <c r="G188" i="14" s="1"/>
  <c r="H422" i="14"/>
  <c r="H421" i="14" s="1"/>
  <c r="H420" i="14" s="1"/>
  <c r="H419" i="14" s="1"/>
  <c r="I422" i="14"/>
  <c r="I421" i="14" s="1"/>
  <c r="I420" i="14" s="1"/>
  <c r="I419" i="14" s="1"/>
  <c r="G422" i="14"/>
  <c r="G421" i="14" s="1"/>
  <c r="G420" i="14" s="1"/>
  <c r="G279" i="1"/>
  <c r="H279" i="1"/>
  <c r="F279" i="1"/>
  <c r="G188" i="3"/>
  <c r="G187" i="3" s="1"/>
  <c r="G186" i="3" s="1"/>
  <c r="G185" i="3" s="1"/>
  <c r="G184" i="3" s="1"/>
  <c r="H188" i="3"/>
  <c r="H187" i="3" s="1"/>
  <c r="H186" i="3" s="1"/>
  <c r="H185" i="3" s="1"/>
  <c r="H184" i="3" s="1"/>
  <c r="G121" i="1"/>
  <c r="H121" i="1"/>
  <c r="H120" i="1" s="1"/>
  <c r="H119" i="1" s="1"/>
  <c r="F121" i="1"/>
  <c r="G133" i="3"/>
  <c r="G132" i="3" s="1"/>
  <c r="G131" i="3" s="1"/>
  <c r="H133" i="3"/>
  <c r="H132" i="3" s="1"/>
  <c r="H131" i="3" s="1"/>
  <c r="G134" i="3"/>
  <c r="H134" i="3"/>
  <c r="C122" i="12" l="1"/>
  <c r="H103" i="14" l="1"/>
  <c r="H102" i="14" s="1"/>
  <c r="I103" i="14"/>
  <c r="I102" i="14" s="1"/>
  <c r="G103" i="14"/>
  <c r="G102" i="14" s="1"/>
  <c r="G74" i="1"/>
  <c r="H74" i="1"/>
  <c r="F74" i="1"/>
  <c r="G84" i="3"/>
  <c r="H84" i="3"/>
  <c r="F84" i="3"/>
  <c r="H513" i="14"/>
  <c r="H512" i="14" s="1"/>
  <c r="I513" i="14"/>
  <c r="I512" i="14" s="1"/>
  <c r="G513" i="14"/>
  <c r="G512" i="14" s="1"/>
  <c r="G344" i="1"/>
  <c r="H344" i="1"/>
  <c r="F344" i="1"/>
  <c r="G216" i="3"/>
  <c r="H216" i="3"/>
  <c r="F216" i="3"/>
  <c r="H515" i="14"/>
  <c r="H514" i="14" s="1"/>
  <c r="I515" i="14"/>
  <c r="I514" i="14" s="1"/>
  <c r="G515" i="14"/>
  <c r="G514" i="14" s="1"/>
  <c r="C38" i="6"/>
  <c r="F228" i="3"/>
  <c r="F227" i="3" s="1"/>
  <c r="F160" i="3"/>
  <c r="H249" i="14"/>
  <c r="I249" i="14"/>
  <c r="H250" i="14"/>
  <c r="I250" i="14"/>
  <c r="G249" i="14"/>
  <c r="G164" i="1"/>
  <c r="H164" i="1"/>
  <c r="F164" i="1"/>
  <c r="F158" i="3"/>
  <c r="H541" i="14"/>
  <c r="I541" i="14"/>
  <c r="G541" i="14"/>
  <c r="G360" i="1"/>
  <c r="H360" i="1"/>
  <c r="F360" i="1"/>
  <c r="H279" i="14"/>
  <c r="H278" i="14" s="1"/>
  <c r="H277" i="14" s="1"/>
  <c r="H276" i="14" s="1"/>
  <c r="I279" i="14"/>
  <c r="I278" i="14" s="1"/>
  <c r="I277" i="14" s="1"/>
  <c r="I276" i="14" s="1"/>
  <c r="G279" i="14"/>
  <c r="G278" i="14" s="1"/>
  <c r="G277" i="14" s="1"/>
  <c r="G276" i="14" s="1"/>
  <c r="G187" i="1"/>
  <c r="G186" i="1" s="1"/>
  <c r="G185" i="1" s="1"/>
  <c r="H187" i="1"/>
  <c r="H186" i="1" s="1"/>
  <c r="H185" i="1" s="1"/>
  <c r="F187" i="1"/>
  <c r="F186" i="1" s="1"/>
  <c r="F185" i="1" s="1"/>
  <c r="G168" i="3"/>
  <c r="G167" i="3" s="1"/>
  <c r="H168" i="3"/>
  <c r="F168" i="3"/>
  <c r="F167" i="3" s="1"/>
  <c r="F166" i="3" s="1"/>
  <c r="F165" i="3" s="1"/>
  <c r="H221" i="14"/>
  <c r="I221" i="14"/>
  <c r="G221" i="14"/>
  <c r="G144" i="1"/>
  <c r="H144" i="1"/>
  <c r="F144" i="1"/>
  <c r="G250" i="14"/>
  <c r="G165" i="1"/>
  <c r="H165" i="1"/>
  <c r="F165" i="1"/>
  <c r="H251" i="14"/>
  <c r="I251" i="14"/>
  <c r="G251" i="14"/>
  <c r="G167" i="1"/>
  <c r="H167" i="1"/>
  <c r="F167" i="1"/>
  <c r="G158" i="3"/>
  <c r="H158" i="3"/>
  <c r="H539" i="14"/>
  <c r="I539" i="14"/>
  <c r="G358" i="1"/>
  <c r="H358" i="1"/>
  <c r="G539" i="14" l="1"/>
  <c r="G538" i="14" s="1"/>
  <c r="G537" i="14" s="1"/>
  <c r="F358" i="1"/>
  <c r="F357" i="1" s="1"/>
  <c r="H167" i="3"/>
  <c r="H166" i="3" s="1"/>
  <c r="H165" i="3" s="1"/>
  <c r="I248" i="14"/>
  <c r="H248" i="14"/>
  <c r="G248" i="14"/>
  <c r="I538" i="14"/>
  <c r="I537" i="14" s="1"/>
  <c r="I536" i="14" s="1"/>
  <c r="H357" i="1"/>
  <c r="G357" i="1"/>
  <c r="H538" i="14"/>
  <c r="H537" i="14" s="1"/>
  <c r="H536" i="14" s="1"/>
  <c r="G166" i="3"/>
  <c r="G165" i="3" s="1"/>
  <c r="F99" i="3"/>
  <c r="H109" i="14"/>
  <c r="I109" i="14"/>
  <c r="G109" i="14"/>
  <c r="H382" i="14"/>
  <c r="I382" i="14"/>
  <c r="I381" i="14" s="1"/>
  <c r="I380" i="14" s="1"/>
  <c r="G382" i="14"/>
  <c r="G249" i="1"/>
  <c r="H249" i="1"/>
  <c r="H248" i="1" s="1"/>
  <c r="H247" i="1" s="1"/>
  <c r="F249" i="1"/>
  <c r="G182" i="3"/>
  <c r="G181" i="3" s="1"/>
  <c r="G180" i="3" s="1"/>
  <c r="G179" i="3" s="1"/>
  <c r="H182" i="3"/>
  <c r="H181" i="3" s="1"/>
  <c r="H180" i="3" s="1"/>
  <c r="H179" i="3" s="1"/>
  <c r="F90" i="3"/>
  <c r="H108" i="14" l="1"/>
  <c r="I108" i="14"/>
  <c r="G108" i="14"/>
  <c r="G73" i="1"/>
  <c r="H73" i="1"/>
  <c r="F73" i="1"/>
  <c r="H107" i="14"/>
  <c r="I107" i="14"/>
  <c r="G107" i="14"/>
  <c r="G72" i="1"/>
  <c r="H72" i="1"/>
  <c r="F72" i="1"/>
  <c r="F86" i="3"/>
  <c r="G52" i="3"/>
  <c r="G51" i="3" s="1"/>
  <c r="G50" i="3" s="1"/>
  <c r="G49" i="3" s="1"/>
  <c r="H52" i="3"/>
  <c r="H51" i="3" s="1"/>
  <c r="H50" i="3" s="1"/>
  <c r="H49" i="3" s="1"/>
  <c r="F73" i="3"/>
  <c r="F34" i="3" l="1"/>
  <c r="D118" i="12" l="1"/>
  <c r="E118" i="12"/>
  <c r="C118" i="12"/>
  <c r="H304" i="14" l="1"/>
  <c r="I304" i="14"/>
  <c r="G304" i="14"/>
  <c r="H306" i="14"/>
  <c r="I306" i="14"/>
  <c r="G306" i="14"/>
  <c r="H299" i="14"/>
  <c r="I299" i="14"/>
  <c r="G299" i="14"/>
  <c r="G253" i="1"/>
  <c r="H253" i="1"/>
  <c r="G256" i="1"/>
  <c r="H256" i="1"/>
  <c r="H164" i="14"/>
  <c r="H163" i="14" s="1"/>
  <c r="I164" i="14"/>
  <c r="I163" i="14" s="1"/>
  <c r="H71" i="14"/>
  <c r="I71" i="14"/>
  <c r="H68" i="14"/>
  <c r="I68" i="14"/>
  <c r="H66" i="14"/>
  <c r="I66" i="14"/>
  <c r="H61" i="14"/>
  <c r="I61" i="14"/>
  <c r="H59" i="14"/>
  <c r="I59" i="14"/>
  <c r="H58" i="14" l="1"/>
  <c r="H57" i="14" s="1"/>
  <c r="I58" i="14"/>
  <c r="I57" i="14" s="1"/>
  <c r="H492" i="14" l="1"/>
  <c r="I492" i="14"/>
  <c r="G492" i="14"/>
  <c r="H455" i="14" l="1"/>
  <c r="I455" i="14"/>
  <c r="G455" i="14"/>
  <c r="H451" i="14"/>
  <c r="I451" i="14"/>
  <c r="G451" i="14"/>
  <c r="G59" i="14"/>
  <c r="G61" i="14"/>
  <c r="G58" i="14" l="1"/>
  <c r="H239" i="14"/>
  <c r="I239" i="14"/>
  <c r="G239" i="14"/>
  <c r="H444" i="14" l="1"/>
  <c r="I444" i="14"/>
  <c r="G444" i="14"/>
  <c r="H338" i="14"/>
  <c r="I338" i="14"/>
  <c r="G338" i="14"/>
  <c r="H335" i="14"/>
  <c r="I335" i="14"/>
  <c r="G335" i="14"/>
  <c r="H333" i="14"/>
  <c r="I333" i="14"/>
  <c r="G333" i="14"/>
  <c r="H331" i="14"/>
  <c r="I331" i="14"/>
  <c r="G331" i="14"/>
  <c r="H328" i="14"/>
  <c r="I328" i="14"/>
  <c r="G328" i="14"/>
  <c r="H524" i="14"/>
  <c r="I524" i="14"/>
  <c r="G524" i="14"/>
  <c r="H522" i="14"/>
  <c r="I522" i="14"/>
  <c r="G522" i="14"/>
  <c r="G327" i="14" l="1"/>
  <c r="I327" i="14"/>
  <c r="H327" i="14"/>
  <c r="G521" i="14"/>
  <c r="I521" i="14"/>
  <c r="H521" i="14"/>
  <c r="F256" i="1"/>
  <c r="G258" i="1"/>
  <c r="H258" i="1"/>
  <c r="F258" i="1"/>
  <c r="H397" i="14"/>
  <c r="I397" i="14"/>
  <c r="H395" i="14"/>
  <c r="I395" i="14"/>
  <c r="G395" i="14"/>
  <c r="G397" i="14"/>
  <c r="H390" i="14"/>
  <c r="I390" i="14"/>
  <c r="H392" i="14"/>
  <c r="I392" i="14"/>
  <c r="G392" i="14"/>
  <c r="G390" i="14"/>
  <c r="G389" i="14" l="1"/>
  <c r="I389" i="14"/>
  <c r="H394" i="14"/>
  <c r="H389" i="14"/>
  <c r="I394" i="14"/>
  <c r="G394" i="14"/>
  <c r="H407" i="14" l="1"/>
  <c r="I407" i="14"/>
  <c r="G407" i="14"/>
  <c r="H287" i="14"/>
  <c r="I287" i="14"/>
  <c r="G287" i="14"/>
  <c r="H403" i="14" l="1"/>
  <c r="H402" i="14" s="1"/>
  <c r="I403" i="14"/>
  <c r="I402" i="14" s="1"/>
  <c r="G403" i="14"/>
  <c r="G402" i="14" s="1"/>
  <c r="H283" i="14"/>
  <c r="H282" i="14" s="1"/>
  <c r="I283" i="14"/>
  <c r="G283" i="14"/>
  <c r="H285" i="14"/>
  <c r="I285" i="14"/>
  <c r="G285" i="14"/>
  <c r="H259" i="14"/>
  <c r="H258" i="14" s="1"/>
  <c r="I259" i="14"/>
  <c r="I258" i="14" s="1"/>
  <c r="G259" i="14"/>
  <c r="G258" i="14" s="1"/>
  <c r="I282" i="14" l="1"/>
  <c r="G282" i="14"/>
  <c r="I82" i="14" l="1"/>
  <c r="G66" i="14"/>
  <c r="H77" i="14"/>
  <c r="I77" i="14"/>
  <c r="G77" i="14"/>
  <c r="H75" i="14"/>
  <c r="I75" i="14"/>
  <c r="G75" i="14"/>
  <c r="H73" i="14"/>
  <c r="I73" i="14"/>
  <c r="G73" i="14"/>
  <c r="G71" i="14"/>
  <c r="G68" i="14"/>
  <c r="H80" i="14"/>
  <c r="H79" i="14" s="1"/>
  <c r="I80" i="14"/>
  <c r="G80" i="14"/>
  <c r="H82" i="14"/>
  <c r="G82" i="14"/>
  <c r="H84" i="14"/>
  <c r="I84" i="14"/>
  <c r="G84" i="14"/>
  <c r="H203" i="14"/>
  <c r="I203" i="14"/>
  <c r="G203" i="14"/>
  <c r="H205" i="14"/>
  <c r="I205" i="14"/>
  <c r="G205" i="14"/>
  <c r="H207" i="14"/>
  <c r="I207" i="14"/>
  <c r="G207" i="14"/>
  <c r="H178" i="14"/>
  <c r="I178" i="14"/>
  <c r="G178" i="14"/>
  <c r="H180" i="14"/>
  <c r="I180" i="14"/>
  <c r="G180" i="14"/>
  <c r="H176" i="14"/>
  <c r="I176" i="14"/>
  <c r="G176" i="14"/>
  <c r="H174" i="14"/>
  <c r="I174" i="14"/>
  <c r="G174" i="14"/>
  <c r="H172" i="14"/>
  <c r="I172" i="14"/>
  <c r="G172" i="14"/>
  <c r="G182" i="14"/>
  <c r="H182" i="14"/>
  <c r="I182" i="14"/>
  <c r="G183" i="14"/>
  <c r="H183" i="14"/>
  <c r="I183" i="14"/>
  <c r="I199" i="14" l="1"/>
  <c r="I198" i="14" s="1"/>
  <c r="I197" i="14" s="1"/>
  <c r="I65" i="14"/>
  <c r="I64" i="14"/>
  <c r="H199" i="14"/>
  <c r="H198" i="14" s="1"/>
  <c r="H197" i="14" s="1"/>
  <c r="I79" i="14"/>
  <c r="H65" i="14"/>
  <c r="H64" i="14" s="1"/>
  <c r="G199" i="14"/>
  <c r="G65" i="14"/>
  <c r="G79" i="14"/>
  <c r="G171" i="14"/>
  <c r="I171" i="14"/>
  <c r="H171" i="14"/>
  <c r="G164" i="14"/>
  <c r="G163" i="14" s="1"/>
  <c r="G64" i="14" l="1"/>
  <c r="H159" i="14" l="1"/>
  <c r="I159" i="14"/>
  <c r="G159" i="14"/>
  <c r="H157" i="14"/>
  <c r="I157" i="14"/>
  <c r="G157" i="14"/>
  <c r="H156" i="14" l="1"/>
  <c r="G156" i="14"/>
  <c r="I156" i="14"/>
  <c r="H141" i="14"/>
  <c r="I141" i="14"/>
  <c r="G141" i="14"/>
  <c r="H139" i="14"/>
  <c r="I139" i="14"/>
  <c r="G139" i="14"/>
  <c r="H137" i="14"/>
  <c r="I137" i="14"/>
  <c r="G137" i="14"/>
  <c r="H135" i="14"/>
  <c r="I135" i="14"/>
  <c r="G135" i="14"/>
  <c r="H133" i="14"/>
  <c r="I133" i="14"/>
  <c r="G133" i="14"/>
  <c r="I132" i="14" l="1"/>
  <c r="H132" i="14"/>
  <c r="G132" i="14"/>
  <c r="H427" i="14"/>
  <c r="H426" i="14" s="1"/>
  <c r="H425" i="14" s="1"/>
  <c r="H424" i="14" s="1"/>
  <c r="H423" i="14" s="1"/>
  <c r="I427" i="14"/>
  <c r="I426" i="14" s="1"/>
  <c r="I425" i="14" s="1"/>
  <c r="I424" i="14" s="1"/>
  <c r="I423" i="14" s="1"/>
  <c r="H552" i="14"/>
  <c r="H551" i="14" s="1"/>
  <c r="I552" i="14"/>
  <c r="I551" i="14" s="1"/>
  <c r="H554" i="14"/>
  <c r="H553" i="14" s="1"/>
  <c r="I554" i="14"/>
  <c r="I553" i="14" s="1"/>
  <c r="G552" i="14"/>
  <c r="G551" i="14" s="1"/>
  <c r="H510" i="14"/>
  <c r="H509" i="14" s="1"/>
  <c r="H508" i="14" s="1"/>
  <c r="I510" i="14"/>
  <c r="I509" i="14" s="1"/>
  <c r="I508" i="14" s="1"/>
  <c r="H517" i="14"/>
  <c r="H516" i="14" s="1"/>
  <c r="H511" i="14" s="1"/>
  <c r="I517" i="14"/>
  <c r="I516" i="14" s="1"/>
  <c r="I511" i="14" s="1"/>
  <c r="G517" i="14"/>
  <c r="G516" i="14" s="1"/>
  <c r="G511" i="14" s="1"/>
  <c r="G510" i="14"/>
  <c r="G509" i="14" s="1"/>
  <c r="G508" i="14" s="1"/>
  <c r="H482" i="14"/>
  <c r="I482" i="14"/>
  <c r="H483" i="14"/>
  <c r="I483" i="14"/>
  <c r="G483" i="14"/>
  <c r="G482" i="14"/>
  <c r="H438" i="14"/>
  <c r="H437" i="14" s="1"/>
  <c r="H436" i="14" s="1"/>
  <c r="H435" i="14" s="1"/>
  <c r="I438" i="14"/>
  <c r="I437" i="14" s="1"/>
  <c r="I436" i="14" s="1"/>
  <c r="I435" i="14" s="1"/>
  <c r="G438" i="14"/>
  <c r="G437" i="14" s="1"/>
  <c r="G436" i="14" s="1"/>
  <c r="G435" i="14" s="1"/>
  <c r="G319" i="14"/>
  <c r="G318" i="14" s="1"/>
  <c r="H319" i="14"/>
  <c r="H318" i="14" s="1"/>
  <c r="I319" i="14"/>
  <c r="I318" i="14" s="1"/>
  <c r="G321" i="14"/>
  <c r="G320" i="14" s="1"/>
  <c r="H321" i="14"/>
  <c r="H320" i="14" s="1"/>
  <c r="I321" i="14"/>
  <c r="I320" i="14" s="1"/>
  <c r="H323" i="14"/>
  <c r="H322" i="14" s="1"/>
  <c r="I323" i="14"/>
  <c r="I322" i="14" s="1"/>
  <c r="G323" i="14"/>
  <c r="G322" i="14" s="1"/>
  <c r="H254" i="14"/>
  <c r="H252" i="14" s="1"/>
  <c r="I254" i="14"/>
  <c r="I252" i="14" s="1"/>
  <c r="G254" i="14"/>
  <c r="G252" i="14" s="1"/>
  <c r="H222" i="14"/>
  <c r="H220" i="14" s="1"/>
  <c r="H219" i="14" s="1"/>
  <c r="H218" i="14" s="1"/>
  <c r="I222" i="14"/>
  <c r="I220" i="14" s="1"/>
  <c r="I219" i="14" s="1"/>
  <c r="I218" i="14" s="1"/>
  <c r="G222" i="14"/>
  <c r="G220" i="14" s="1"/>
  <c r="G219" i="14" s="1"/>
  <c r="H150" i="14"/>
  <c r="H149" i="14" s="1"/>
  <c r="H148" i="14" s="1"/>
  <c r="I150" i="14"/>
  <c r="I149" i="14" s="1"/>
  <c r="I148" i="14" s="1"/>
  <c r="H153" i="14"/>
  <c r="H152" i="14" s="1"/>
  <c r="H151" i="14" s="1"/>
  <c r="I153" i="14"/>
  <c r="I152" i="14" s="1"/>
  <c r="I151" i="14" s="1"/>
  <c r="G150" i="14"/>
  <c r="G149" i="14" s="1"/>
  <c r="G148" i="14" s="1"/>
  <c r="G153" i="14"/>
  <c r="G152" i="14" s="1"/>
  <c r="G151" i="14" s="1"/>
  <c r="H129" i="14"/>
  <c r="H128" i="14" s="1"/>
  <c r="H127" i="14" s="1"/>
  <c r="H126" i="14" s="1"/>
  <c r="H125" i="14" s="1"/>
  <c r="I129" i="14"/>
  <c r="I128" i="14" s="1"/>
  <c r="I127" i="14" s="1"/>
  <c r="I126" i="14" s="1"/>
  <c r="I125" i="14" s="1"/>
  <c r="G129" i="14"/>
  <c r="G128" i="14" s="1"/>
  <c r="G127" i="14" s="1"/>
  <c r="G126" i="14" s="1"/>
  <c r="G125" i="14" s="1"/>
  <c r="H119" i="14"/>
  <c r="I119" i="14"/>
  <c r="G119" i="14"/>
  <c r="H123" i="14"/>
  <c r="I123" i="14"/>
  <c r="G123" i="14"/>
  <c r="G122" i="14" s="1"/>
  <c r="G121" i="14" s="1"/>
  <c r="H113" i="14"/>
  <c r="H112" i="14" s="1"/>
  <c r="I113" i="14"/>
  <c r="I112" i="14" s="1"/>
  <c r="G113" i="14"/>
  <c r="G112" i="14" s="1"/>
  <c r="H111" i="14"/>
  <c r="H110" i="14" s="1"/>
  <c r="I111" i="14"/>
  <c r="I110" i="14" s="1"/>
  <c r="G111" i="14"/>
  <c r="G110" i="14" s="1"/>
  <c r="H106" i="14"/>
  <c r="H104" i="14" s="1"/>
  <c r="I106" i="14"/>
  <c r="I104" i="14" s="1"/>
  <c r="G106" i="14"/>
  <c r="G104" i="14" s="1"/>
  <c r="H100" i="14"/>
  <c r="I100" i="14"/>
  <c r="G100" i="14"/>
  <c r="H96" i="14"/>
  <c r="I96" i="14"/>
  <c r="H98" i="14"/>
  <c r="I98" i="14"/>
  <c r="H99" i="14"/>
  <c r="I99" i="14"/>
  <c r="G96" i="14"/>
  <c r="H94" i="14"/>
  <c r="H93" i="14" s="1"/>
  <c r="I94" i="14"/>
  <c r="I93" i="14" s="1"/>
  <c r="G94" i="14"/>
  <c r="G93" i="14" s="1"/>
  <c r="H55" i="14"/>
  <c r="H54" i="14" s="1"/>
  <c r="H53" i="14" s="1"/>
  <c r="H52" i="14" s="1"/>
  <c r="H51" i="14" s="1"/>
  <c r="I55" i="14"/>
  <c r="I54" i="14" s="1"/>
  <c r="I53" i="14" s="1"/>
  <c r="I52" i="14" s="1"/>
  <c r="I51" i="14" s="1"/>
  <c r="G55" i="14"/>
  <c r="G54" i="14" s="1"/>
  <c r="G53" i="14" s="1"/>
  <c r="H45" i="14"/>
  <c r="H44" i="14" s="1"/>
  <c r="I45" i="14"/>
  <c r="I44" i="14" s="1"/>
  <c r="G45" i="14"/>
  <c r="G44" i="14" s="1"/>
  <c r="H42" i="14"/>
  <c r="I42" i="14"/>
  <c r="G42" i="14"/>
  <c r="H35" i="14"/>
  <c r="I35" i="14"/>
  <c r="H37" i="14"/>
  <c r="I37" i="14"/>
  <c r="G37" i="14"/>
  <c r="G36" i="14"/>
  <c r="G35" i="14"/>
  <c r="H28" i="14"/>
  <c r="I28" i="14"/>
  <c r="H30" i="14"/>
  <c r="I30" i="14"/>
  <c r="G30" i="14"/>
  <c r="G28" i="14"/>
  <c r="H26" i="14"/>
  <c r="H25" i="14" s="1"/>
  <c r="I26" i="14"/>
  <c r="I25" i="14" s="1"/>
  <c r="G26" i="14"/>
  <c r="G25" i="14" s="1"/>
  <c r="H21" i="14"/>
  <c r="I21" i="14"/>
  <c r="G21" i="14"/>
  <c r="G20" i="14" s="1"/>
  <c r="G536" i="14"/>
  <c r="I505" i="14"/>
  <c r="I504" i="14" s="1"/>
  <c r="H505" i="14"/>
  <c r="H504" i="14" s="1"/>
  <c r="G505" i="14"/>
  <c r="G504" i="14" s="1"/>
  <c r="I503" i="14"/>
  <c r="H503" i="14"/>
  <c r="G503" i="14"/>
  <c r="I488" i="14"/>
  <c r="I487" i="14" s="1"/>
  <c r="H488" i="14"/>
  <c r="H487" i="14" s="1"/>
  <c r="G488" i="14"/>
  <c r="G487" i="14" s="1"/>
  <c r="I473" i="14"/>
  <c r="I472" i="14" s="1"/>
  <c r="H473" i="14"/>
  <c r="H472" i="14" s="1"/>
  <c r="G473" i="14"/>
  <c r="G472" i="14" s="1"/>
  <c r="I458" i="14"/>
  <c r="I457" i="14" s="1"/>
  <c r="H458" i="14"/>
  <c r="H457" i="14" s="1"/>
  <c r="G458" i="14"/>
  <c r="G457" i="14" s="1"/>
  <c r="I453" i="14"/>
  <c r="I450" i="14" s="1"/>
  <c r="H453" i="14"/>
  <c r="H450" i="14" s="1"/>
  <c r="G453" i="14"/>
  <c r="G450" i="14" s="1"/>
  <c r="I442" i="14"/>
  <c r="I441" i="14" s="1"/>
  <c r="H442" i="14"/>
  <c r="H441" i="14" s="1"/>
  <c r="G442" i="14"/>
  <c r="G441" i="14" s="1"/>
  <c r="G419" i="14"/>
  <c r="I400" i="14"/>
  <c r="I399" i="14" s="1"/>
  <c r="I388" i="14" s="1"/>
  <c r="H400" i="14"/>
  <c r="H399" i="14" s="1"/>
  <c r="H388" i="14" s="1"/>
  <c r="G400" i="14"/>
  <c r="G399" i="14" s="1"/>
  <c r="G388" i="14" s="1"/>
  <c r="I386" i="14"/>
  <c r="H386" i="14"/>
  <c r="G386" i="14"/>
  <c r="H381" i="14"/>
  <c r="H380" i="14" s="1"/>
  <c r="G381" i="14"/>
  <c r="G380" i="14" s="1"/>
  <c r="G351" i="14" s="1"/>
  <c r="I378" i="14"/>
  <c r="H378" i="14"/>
  <c r="G378" i="14"/>
  <c r="I367" i="14"/>
  <c r="I366" i="14" s="1"/>
  <c r="H367" i="14"/>
  <c r="H366" i="14" s="1"/>
  <c r="G367" i="14"/>
  <c r="G366" i="14" s="1"/>
  <c r="I364" i="14"/>
  <c r="I363" i="14" s="1"/>
  <c r="H364" i="14"/>
  <c r="H363" i="14" s="1"/>
  <c r="G364" i="14"/>
  <c r="G363" i="14" s="1"/>
  <c r="G358" i="14"/>
  <c r="I355" i="14"/>
  <c r="I354" i="14" s="1"/>
  <c r="H355" i="14"/>
  <c r="H354" i="14" s="1"/>
  <c r="G355" i="14"/>
  <c r="G354" i="14" s="1"/>
  <c r="I345" i="14"/>
  <c r="I344" i="14" s="1"/>
  <c r="H345" i="14"/>
  <c r="H344" i="14" s="1"/>
  <c r="G345" i="14"/>
  <c r="G344" i="14" s="1"/>
  <c r="I314" i="14"/>
  <c r="I313" i="14" s="1"/>
  <c r="H314" i="14"/>
  <c r="H313" i="14" s="1"/>
  <c r="G314" i="14"/>
  <c r="G313" i="14" s="1"/>
  <c r="I301" i="14"/>
  <c r="I298" i="14" s="1"/>
  <c r="H301" i="14"/>
  <c r="H298" i="14" s="1"/>
  <c r="G301" i="14"/>
  <c r="G298" i="14" s="1"/>
  <c r="I281" i="14"/>
  <c r="H281" i="14"/>
  <c r="G281" i="14"/>
  <c r="I273" i="14"/>
  <c r="I272" i="14" s="1"/>
  <c r="H273" i="14"/>
  <c r="H272" i="14" s="1"/>
  <c r="G273" i="14"/>
  <c r="G272" i="14" s="1"/>
  <c r="G268" i="14"/>
  <c r="I244" i="14" a="1"/>
  <c r="I244" i="14" s="1"/>
  <c r="I243" i="14" s="1"/>
  <c r="I242" i="14" s="1"/>
  <c r="H244" i="14" a="1"/>
  <c r="H244" i="14" s="1"/>
  <c r="H243" i="14" s="1"/>
  <c r="H242" i="14" s="1"/>
  <c r="H195" i="14"/>
  <c r="H194" i="14" s="1"/>
  <c r="H193" i="14" s="1"/>
  <c r="H192" i="14" s="1"/>
  <c r="H191" i="14" s="1"/>
  <c r="G195" i="14"/>
  <c r="G194" i="14" s="1"/>
  <c r="G193" i="14" s="1"/>
  <c r="G192" i="14" s="1"/>
  <c r="G191" i="14" s="1"/>
  <c r="G187" i="14"/>
  <c r="I167" i="14"/>
  <c r="I166" i="14" s="1"/>
  <c r="I162" i="14" s="1"/>
  <c r="I161" i="14" s="1"/>
  <c r="H167" i="14"/>
  <c r="H166" i="14" s="1"/>
  <c r="H162" i="14" s="1"/>
  <c r="H161" i="14" s="1"/>
  <c r="I155" i="14"/>
  <c r="I154" i="14" s="1"/>
  <c r="H155" i="14"/>
  <c r="H154" i="14" s="1"/>
  <c r="G155" i="14"/>
  <c r="G154" i="14" s="1"/>
  <c r="G98" i="14"/>
  <c r="G57" i="14"/>
  <c r="H268" i="14" l="1"/>
  <c r="H267" i="14" s="1"/>
  <c r="H266" i="14" s="1"/>
  <c r="H101" i="14"/>
  <c r="G101" i="14"/>
  <c r="I101" i="14"/>
  <c r="G247" i="14"/>
  <c r="G246" i="14" s="1"/>
  <c r="H247" i="14"/>
  <c r="H246" i="14" s="1"/>
  <c r="I247" i="14"/>
  <c r="I246" i="14" s="1"/>
  <c r="H147" i="14"/>
  <c r="I122" i="14"/>
  <c r="I121" i="14" s="1"/>
  <c r="H122" i="14"/>
  <c r="H121" i="14" s="1"/>
  <c r="I20" i="14"/>
  <c r="I19" i="14"/>
  <c r="I18" i="14" s="1"/>
  <c r="I17" i="14" s="1"/>
  <c r="H20" i="14"/>
  <c r="H19" i="14"/>
  <c r="H18" i="14" s="1"/>
  <c r="H17" i="14" s="1"/>
  <c r="I147" i="14"/>
  <c r="G499" i="14"/>
  <c r="G498" i="14" s="1"/>
  <c r="G497" i="14" s="1"/>
  <c r="H499" i="14"/>
  <c r="H498" i="14" s="1"/>
  <c r="H497" i="14" s="1"/>
  <c r="I499" i="14"/>
  <c r="I498" i="14" s="1"/>
  <c r="I497" i="14" s="1"/>
  <c r="G469" i="14"/>
  <c r="G468" i="14" s="1"/>
  <c r="G467" i="14" s="1"/>
  <c r="H469" i="14"/>
  <c r="H468" i="14" s="1"/>
  <c r="H467" i="14" s="1"/>
  <c r="I469" i="14"/>
  <c r="I468" i="14" s="1"/>
  <c r="I467" i="14" s="1"/>
  <c r="G433" i="14"/>
  <c r="G432" i="14" s="1"/>
  <c r="G431" i="14" s="1"/>
  <c r="G430" i="14" s="1"/>
  <c r="H433" i="14"/>
  <c r="H432" i="14" s="1"/>
  <c r="H431" i="14" s="1"/>
  <c r="H430" i="14" s="1"/>
  <c r="I433" i="14"/>
  <c r="I432" i="14" s="1"/>
  <c r="I431" i="14" s="1"/>
  <c r="I430" i="14" s="1"/>
  <c r="H477" i="14"/>
  <c r="H476" i="14" s="1"/>
  <c r="H475" i="14" s="1"/>
  <c r="I477" i="14"/>
  <c r="I476" i="14" s="1"/>
  <c r="I475" i="14" s="1"/>
  <c r="G449" i="14"/>
  <c r="H234" i="14"/>
  <c r="H233" i="14" s="1"/>
  <c r="H230" i="14"/>
  <c r="H229" i="14" s="1"/>
  <c r="I230" i="14"/>
  <c r="I229" i="14" s="1"/>
  <c r="I226" i="14"/>
  <c r="I225" i="14" s="1"/>
  <c r="G230" i="14"/>
  <c r="G229" i="14" s="1"/>
  <c r="G226" i="14"/>
  <c r="G225" i="14" s="1"/>
  <c r="H226" i="14"/>
  <c r="H225" i="14" s="1"/>
  <c r="H464" i="14"/>
  <c r="H463" i="14" s="1"/>
  <c r="H462" i="14" s="1"/>
  <c r="H461" i="14" s="1"/>
  <c r="G464" i="14"/>
  <c r="G463" i="14" s="1"/>
  <c r="G462" i="14" s="1"/>
  <c r="G461" i="14" s="1"/>
  <c r="I464" i="14"/>
  <c r="I463" i="14" s="1"/>
  <c r="I462" i="14" s="1"/>
  <c r="I461" i="14" s="1"/>
  <c r="G385" i="14"/>
  <c r="I341" i="14"/>
  <c r="I340" i="14" s="1"/>
  <c r="H341" i="14"/>
  <c r="H340" i="14" s="1"/>
  <c r="G341" i="14"/>
  <c r="G340" i="14" s="1"/>
  <c r="H545" i="14"/>
  <c r="H544" i="14" s="1"/>
  <c r="H543" i="14" s="1"/>
  <c r="H542" i="14" s="1"/>
  <c r="I545" i="14"/>
  <c r="I544" i="14" s="1"/>
  <c r="I543" i="14" s="1"/>
  <c r="I542" i="14" s="1"/>
  <c r="G545" i="14"/>
  <c r="G544" i="14" s="1"/>
  <c r="G543" i="14" s="1"/>
  <c r="G542" i="14" s="1"/>
  <c r="G244" i="14" a="1"/>
  <c r="G244" i="14" s="1"/>
  <c r="G243" i="14" s="1"/>
  <c r="G242" i="14" s="1"/>
  <c r="G481" i="14"/>
  <c r="G480" i="14" s="1"/>
  <c r="G479" i="14" s="1"/>
  <c r="I291" i="14"/>
  <c r="I290" i="14" s="1"/>
  <c r="I289" i="14" s="1"/>
  <c r="H291" i="14"/>
  <c r="H290" i="14" s="1"/>
  <c r="H289" i="14" s="1"/>
  <c r="G295" i="14"/>
  <c r="G294" i="14" s="1"/>
  <c r="G293" i="14" s="1"/>
  <c r="H295" i="14"/>
  <c r="H294" i="14" s="1"/>
  <c r="H293" i="14" s="1"/>
  <c r="I295" i="14"/>
  <c r="I294" i="14" s="1"/>
  <c r="I293" i="14" s="1"/>
  <c r="G310" i="14"/>
  <c r="H310" i="14"/>
  <c r="I310" i="14"/>
  <c r="H312" i="14"/>
  <c r="H550" i="14"/>
  <c r="H549" i="14" s="1"/>
  <c r="H548" i="14" s="1"/>
  <c r="H547" i="14" s="1"/>
  <c r="I312" i="14"/>
  <c r="G312" i="14"/>
  <c r="I507" i="14"/>
  <c r="I550" i="14"/>
  <c r="I549" i="14" s="1"/>
  <c r="I548" i="14" s="1"/>
  <c r="I547" i="14" s="1"/>
  <c r="I481" i="14"/>
  <c r="I480" i="14" s="1"/>
  <c r="I479" i="14" s="1"/>
  <c r="H481" i="14"/>
  <c r="H480" i="14" s="1"/>
  <c r="H479" i="14" s="1"/>
  <c r="I317" i="14"/>
  <c r="I316" i="14" s="1"/>
  <c r="H317" i="14"/>
  <c r="H316" i="14" s="1"/>
  <c r="G317" i="14"/>
  <c r="G316" i="14" s="1"/>
  <c r="G218" i="14"/>
  <c r="G210" i="14" s="1"/>
  <c r="G52" i="14"/>
  <c r="G51" i="14" s="1"/>
  <c r="H507" i="14"/>
  <c r="G34" i="14"/>
  <c r="G33" i="14" s="1"/>
  <c r="G32" i="14" s="1"/>
  <c r="G31" i="14" s="1"/>
  <c r="I297" i="14"/>
  <c r="G19" i="14"/>
  <c r="G18" i="14" s="1"/>
  <c r="G17" i="14" s="1"/>
  <c r="H297" i="14"/>
  <c r="I440" i="14"/>
  <c r="H449" i="14"/>
  <c r="I196" i="14"/>
  <c r="G297" i="14"/>
  <c r="G280" i="14" s="1"/>
  <c r="I486" i="14"/>
  <c r="H196" i="14"/>
  <c r="G147" i="14"/>
  <c r="G170" i="14"/>
  <c r="G169" i="14" s="1"/>
  <c r="G507" i="14"/>
  <c r="I449" i="14"/>
  <c r="G486" i="14"/>
  <c r="H486" i="14"/>
  <c r="I170" i="14"/>
  <c r="I169" i="14" s="1"/>
  <c r="H170" i="14"/>
  <c r="H169" i="14" s="1"/>
  <c r="H440" i="14"/>
  <c r="G198" i="14"/>
  <c r="G197" i="14" s="1"/>
  <c r="G196" i="14" s="1"/>
  <c r="C40" i="12"/>
  <c r="C42" i="12"/>
  <c r="I309" i="14" l="1"/>
  <c r="I308" i="14" s="1"/>
  <c r="I280" i="14" s="1"/>
  <c r="G309" i="14"/>
  <c r="G308" i="14" s="1"/>
  <c r="H309" i="14"/>
  <c r="H308" i="14" s="1"/>
  <c r="H280" i="14" s="1"/>
  <c r="H439" i="14"/>
  <c r="I439" i="14"/>
  <c r="I385" i="14"/>
  <c r="I460" i="14"/>
  <c r="I485" i="14"/>
  <c r="G326" i="14"/>
  <c r="G384" i="14"/>
  <c r="I326" i="14"/>
  <c r="H460" i="14"/>
  <c r="H224" i="14"/>
  <c r="H223" i="14" s="1"/>
  <c r="H326" i="14"/>
  <c r="G485" i="14"/>
  <c r="H385" i="14"/>
  <c r="H485" i="14"/>
  <c r="G213" i="14"/>
  <c r="G212" i="14" s="1"/>
  <c r="H384" i="14" l="1"/>
  <c r="I384" i="14"/>
  <c r="I429" i="14"/>
  <c r="H429" i="14"/>
  <c r="D40" i="12" l="1"/>
  <c r="E40" i="12"/>
  <c r="G24" i="1" l="1"/>
  <c r="H24" i="1"/>
  <c r="F24" i="1"/>
  <c r="G23" i="3"/>
  <c r="H23" i="3"/>
  <c r="F23" i="3"/>
  <c r="G554" i="14" l="1"/>
  <c r="G553" i="14" s="1"/>
  <c r="G550" i="14" s="1"/>
  <c r="G549" i="14" s="1"/>
  <c r="G548" i="14" s="1"/>
  <c r="G547" i="14" s="1"/>
  <c r="G440" i="14" l="1"/>
  <c r="G427" i="14"/>
  <c r="G426" i="14" s="1"/>
  <c r="G425" i="14" s="1"/>
  <c r="G424" i="14" s="1"/>
  <c r="G423" i="14" s="1"/>
  <c r="G439" i="14" l="1"/>
  <c r="G530" i="14"/>
  <c r="G531" i="14"/>
  <c r="G115" i="1"/>
  <c r="H115" i="1"/>
  <c r="F70" i="3"/>
  <c r="G99" i="14" s="1"/>
  <c r="F68" i="3"/>
  <c r="G520" i="14" l="1"/>
  <c r="F115" i="1"/>
  <c r="G519" i="14" l="1"/>
  <c r="G518" i="14" s="1"/>
  <c r="G206" i="1" l="1"/>
  <c r="G205" i="1" s="1"/>
  <c r="H206" i="1"/>
  <c r="H205" i="1" s="1"/>
  <c r="F206" i="1"/>
  <c r="F205" i="1" s="1"/>
  <c r="G203" i="1"/>
  <c r="G202" i="1" s="1"/>
  <c r="H203" i="1"/>
  <c r="H202" i="1" s="1"/>
  <c r="F203" i="1"/>
  <c r="F202" i="1" s="1"/>
  <c r="G199" i="1"/>
  <c r="G198" i="1" s="1"/>
  <c r="H199" i="1"/>
  <c r="H198" i="1" s="1"/>
  <c r="F199" i="1"/>
  <c r="F198" i="1" s="1"/>
  <c r="G196" i="1"/>
  <c r="G195" i="1" s="1"/>
  <c r="H196" i="1"/>
  <c r="H195" i="1" s="1"/>
  <c r="F196" i="1"/>
  <c r="F195" i="1" s="1"/>
  <c r="G193" i="1"/>
  <c r="G192" i="1" s="1"/>
  <c r="H193" i="1"/>
  <c r="H192" i="1" s="1"/>
  <c r="G190" i="1"/>
  <c r="G189" i="1" s="1"/>
  <c r="H190" i="1"/>
  <c r="H189" i="1" s="1"/>
  <c r="F190" i="1"/>
  <c r="F189" i="1" s="1"/>
  <c r="G210" i="1"/>
  <c r="G209" i="1" s="1"/>
  <c r="H210" i="1"/>
  <c r="H209" i="1" s="1"/>
  <c r="F210" i="1"/>
  <c r="F209" i="1" s="1"/>
  <c r="G173" i="3"/>
  <c r="H173" i="3"/>
  <c r="F173" i="3"/>
  <c r="G175" i="3"/>
  <c r="H175" i="3"/>
  <c r="F175" i="3"/>
  <c r="F172" i="3" s="1"/>
  <c r="F171" i="3" s="1"/>
  <c r="F170" i="3" s="1"/>
  <c r="G177" i="3"/>
  <c r="H177" i="3"/>
  <c r="F177" i="3"/>
  <c r="H110" i="3"/>
  <c r="I120" i="14" s="1"/>
  <c r="I118" i="14" s="1"/>
  <c r="I117" i="14" s="1"/>
  <c r="I116" i="14" s="1"/>
  <c r="I115" i="14" s="1"/>
  <c r="I114" i="14" s="1"/>
  <c r="G110" i="3"/>
  <c r="H120" i="14" s="1"/>
  <c r="H118" i="14" s="1"/>
  <c r="H117" i="14" s="1"/>
  <c r="H116" i="14" s="1"/>
  <c r="H115" i="14" s="1"/>
  <c r="H114" i="14" s="1"/>
  <c r="F110" i="3"/>
  <c r="G120" i="14" s="1"/>
  <c r="G118" i="14" s="1"/>
  <c r="G117" i="14" s="1"/>
  <c r="G116" i="14" s="1"/>
  <c r="G115" i="14" s="1"/>
  <c r="G114" i="14" s="1"/>
  <c r="H81" i="3"/>
  <c r="G81" i="3"/>
  <c r="F81" i="3"/>
  <c r="G97" i="14" s="1"/>
  <c r="H73" i="3"/>
  <c r="G73" i="3"/>
  <c r="H48" i="3"/>
  <c r="G48" i="3"/>
  <c r="H44" i="3"/>
  <c r="G44" i="3"/>
  <c r="H43" i="14" s="1"/>
  <c r="H41" i="14" s="1"/>
  <c r="H40" i="14" s="1"/>
  <c r="H39" i="14" s="1"/>
  <c r="H38" i="14" s="1"/>
  <c r="F44" i="3"/>
  <c r="H34" i="3"/>
  <c r="I36" i="14" s="1"/>
  <c r="I34" i="14" s="1"/>
  <c r="I33" i="14" s="1"/>
  <c r="I32" i="14" s="1"/>
  <c r="I31" i="14" s="1"/>
  <c r="G34" i="3"/>
  <c r="H36" i="14" s="1"/>
  <c r="H34" i="14" s="1"/>
  <c r="H33" i="14" s="1"/>
  <c r="H32" i="14" s="1"/>
  <c r="H31" i="14" s="1"/>
  <c r="H27" i="3"/>
  <c r="I29" i="14" s="1"/>
  <c r="I27" i="14" s="1"/>
  <c r="I24" i="14" s="1"/>
  <c r="I23" i="14" s="1"/>
  <c r="I22" i="14" s="1"/>
  <c r="G27" i="3"/>
  <c r="H29" i="14" s="1"/>
  <c r="H27" i="14" s="1"/>
  <c r="H24" i="14" s="1"/>
  <c r="H23" i="14" s="1"/>
  <c r="H22" i="14" s="1"/>
  <c r="G29" i="14"/>
  <c r="G27" i="14" s="1"/>
  <c r="G24" i="14" s="1"/>
  <c r="G23" i="14" s="1"/>
  <c r="G22" i="14" s="1"/>
  <c r="G95" i="14" l="1"/>
  <c r="G92" i="14" s="1"/>
  <c r="G91" i="14" s="1"/>
  <c r="I97" i="14"/>
  <c r="I95" i="14" s="1"/>
  <c r="I92" i="14" s="1"/>
  <c r="I91" i="14" s="1"/>
  <c r="I43" i="14"/>
  <c r="I41" i="14" s="1"/>
  <c r="I40" i="14" s="1"/>
  <c r="I39" i="14" s="1"/>
  <c r="I38" i="14" s="1"/>
  <c r="H97" i="14"/>
  <c r="H95" i="14" s="1"/>
  <c r="H92" i="14" s="1"/>
  <c r="H91" i="14" s="1"/>
  <c r="G172" i="3"/>
  <c r="G171" i="3" s="1"/>
  <c r="G170" i="3" s="1"/>
  <c r="G43" i="14"/>
  <c r="G41" i="14" s="1"/>
  <c r="G40" i="14" s="1"/>
  <c r="G39" i="14" s="1"/>
  <c r="G38" i="14" s="1"/>
  <c r="I144" i="14"/>
  <c r="H144" i="14"/>
  <c r="I262" i="14"/>
  <c r="I261" i="14" s="1"/>
  <c r="I257" i="14" s="1"/>
  <c r="G262" i="14"/>
  <c r="G261" i="14" s="1"/>
  <c r="G257" i="14" s="1"/>
  <c r="H262" i="14"/>
  <c r="H261" i="14" s="1"/>
  <c r="H257" i="14" s="1"/>
  <c r="H256" i="14" s="1"/>
  <c r="H172" i="3"/>
  <c r="H171" i="3" s="1"/>
  <c r="H170" i="3" s="1"/>
  <c r="F208" i="1"/>
  <c r="H208" i="1"/>
  <c r="H188" i="1" s="1"/>
  <c r="G208" i="1"/>
  <c r="G188" i="1" s="1"/>
  <c r="I143" i="14" l="1"/>
  <c r="I131" i="14" s="1"/>
  <c r="I130" i="14" s="1"/>
  <c r="I124" i="14" s="1"/>
  <c r="H143" i="14"/>
  <c r="H131" i="14" s="1"/>
  <c r="H130" i="14" s="1"/>
  <c r="H124" i="14" s="1"/>
  <c r="H372" i="14"/>
  <c r="I347" i="14"/>
  <c r="I325" i="14" s="1"/>
  <c r="I324" i="14" s="1"/>
  <c r="I348" i="14"/>
  <c r="H347" i="14"/>
  <c r="H325" i="14" s="1"/>
  <c r="H324" i="14" s="1"/>
  <c r="H348" i="14"/>
  <c r="G347" i="14"/>
  <c r="G348" i="14"/>
  <c r="I530" i="14"/>
  <c r="I520" i="14" s="1"/>
  <c r="I519" i="14" s="1"/>
  <c r="I518" i="14" s="1"/>
  <c r="I531" i="14"/>
  <c r="H530" i="14"/>
  <c r="H520" i="14" s="1"/>
  <c r="H519" i="14" s="1"/>
  <c r="H518" i="14" s="1"/>
  <c r="H531" i="14"/>
  <c r="I414" i="14"/>
  <c r="I413" i="14"/>
  <c r="I412" i="14" s="1"/>
  <c r="I411" i="14" s="1"/>
  <c r="I383" i="14" s="1"/>
  <c r="G414" i="14"/>
  <c r="G413" i="14"/>
  <c r="G412" i="14" s="1"/>
  <c r="G411" i="14" s="1"/>
  <c r="G383" i="14" s="1"/>
  <c r="H414" i="14"/>
  <c r="H413" i="14"/>
  <c r="H412" i="14" s="1"/>
  <c r="G166" i="1"/>
  <c r="H166" i="1"/>
  <c r="H163" i="1" s="1"/>
  <c r="H162" i="1" s="1"/>
  <c r="F166" i="1"/>
  <c r="F163" i="1" s="1"/>
  <c r="G163" i="3"/>
  <c r="H163" i="3"/>
  <c r="H157" i="3" s="1"/>
  <c r="H156" i="3" s="1"/>
  <c r="H155" i="3" s="1"/>
  <c r="F163" i="3"/>
  <c r="H411" i="14" l="1"/>
  <c r="H383" i="14" s="1"/>
  <c r="G325" i="14"/>
  <c r="G324" i="14" s="1"/>
  <c r="F162" i="1"/>
  <c r="G163" i="1"/>
  <c r="G162" i="1" s="1"/>
  <c r="H87" i="14" l="1"/>
  <c r="H86" i="14" s="1"/>
  <c r="H63" i="14" s="1"/>
  <c r="H56" i="14" s="1"/>
  <c r="H16" i="14" s="1"/>
  <c r="I87" i="14"/>
  <c r="I86" i="14" s="1"/>
  <c r="I63" i="14" s="1"/>
  <c r="I56" i="14" s="1"/>
  <c r="I16" i="14" s="1"/>
  <c r="E121" i="12" l="1"/>
  <c r="D121" i="12"/>
  <c r="C121" i="12"/>
  <c r="E103" i="12"/>
  <c r="D103" i="12"/>
  <c r="C103" i="12"/>
  <c r="E95" i="12"/>
  <c r="D95" i="12"/>
  <c r="C95" i="12"/>
  <c r="E93" i="12"/>
  <c r="D93" i="12"/>
  <c r="C93" i="12"/>
  <c r="E88" i="12"/>
  <c r="D88" i="12"/>
  <c r="C88" i="12"/>
  <c r="E84" i="12"/>
  <c r="D84" i="12"/>
  <c r="C84" i="12"/>
  <c r="E82" i="12"/>
  <c r="E81" i="12" s="1"/>
  <c r="D82" i="12"/>
  <c r="D81" i="12" s="1"/>
  <c r="C82" i="12"/>
  <c r="C81" i="12" s="1"/>
  <c r="E57" i="12"/>
  <c r="D57" i="12"/>
  <c r="C57" i="12"/>
  <c r="E50" i="12"/>
  <c r="D50" i="12"/>
  <c r="C50" i="12"/>
  <c r="E43" i="12"/>
  <c r="D43" i="12"/>
  <c r="C43" i="12"/>
  <c r="E37" i="12"/>
  <c r="D37" i="12"/>
  <c r="C37" i="12"/>
  <c r="E35" i="12"/>
  <c r="D35" i="12"/>
  <c r="C35" i="12"/>
  <c r="E32" i="12"/>
  <c r="D32" i="12"/>
  <c r="C32" i="12"/>
  <c r="E27" i="12"/>
  <c r="E26" i="12" s="1"/>
  <c r="D27" i="12"/>
  <c r="C27" i="12"/>
  <c r="C26" i="12" s="1"/>
  <c r="D26" i="12"/>
  <c r="E21" i="12"/>
  <c r="D21" i="12"/>
  <c r="C21" i="12"/>
  <c r="E15" i="12"/>
  <c r="D15" i="12"/>
  <c r="C15" i="12"/>
  <c r="D92" i="12" l="1"/>
  <c r="D90" i="12"/>
  <c r="E90" i="12"/>
  <c r="C90" i="12"/>
  <c r="C92" i="12"/>
  <c r="E92" i="12"/>
  <c r="E127" i="12" l="1"/>
  <c r="E25" i="9" s="1"/>
  <c r="D127" i="12"/>
  <c r="D25" i="9" s="1"/>
  <c r="C127" i="12"/>
  <c r="C25" i="9" s="1"/>
  <c r="I358" i="14" l="1"/>
  <c r="H358" i="14"/>
  <c r="E38" i="9"/>
  <c r="D38" i="9"/>
  <c r="C38" i="9"/>
  <c r="E35" i="9"/>
  <c r="D35" i="9"/>
  <c r="D27" i="9" s="1"/>
  <c r="C35" i="9"/>
  <c r="C27" i="9" s="1"/>
  <c r="E27" i="9"/>
  <c r="E21" i="9"/>
  <c r="D21" i="9"/>
  <c r="C21" i="9"/>
  <c r="E18" i="9"/>
  <c r="D18" i="9"/>
  <c r="C18" i="9"/>
  <c r="C30" i="6"/>
  <c r="E30" i="6"/>
  <c r="D30" i="6"/>
  <c r="E29" i="6"/>
  <c r="E28" i="6" s="1"/>
  <c r="E27" i="6" s="1"/>
  <c r="D29" i="6"/>
  <c r="D28" i="6" s="1"/>
  <c r="D27" i="6" s="1"/>
  <c r="C28" i="6"/>
  <c r="E25" i="6"/>
  <c r="D25" i="6"/>
  <c r="C25" i="6"/>
  <c r="C13" i="6"/>
  <c r="H357" i="14" l="1"/>
  <c r="H353" i="14" s="1"/>
  <c r="H352" i="14" s="1"/>
  <c r="H351" i="14" s="1"/>
  <c r="I357" i="14"/>
  <c r="I353" i="14" s="1"/>
  <c r="C27" i="6"/>
  <c r="C43" i="6" s="1"/>
  <c r="E43" i="6"/>
  <c r="D43" i="6"/>
  <c r="H369" i="1" l="1"/>
  <c r="G369" i="1"/>
  <c r="F369" i="1"/>
  <c r="G342" i="1"/>
  <c r="H342" i="1"/>
  <c r="F342" i="1"/>
  <c r="G292" i="1"/>
  <c r="H292" i="1"/>
  <c r="F292" i="1"/>
  <c r="H278" i="1"/>
  <c r="H277" i="1" s="1"/>
  <c r="G267" i="1"/>
  <c r="H267" i="1"/>
  <c r="G145" i="1"/>
  <c r="H145" i="1"/>
  <c r="F145" i="1"/>
  <c r="G99" i="1"/>
  <c r="H99" i="1"/>
  <c r="F99" i="1"/>
  <c r="G97" i="1"/>
  <c r="H97" i="1"/>
  <c r="F97" i="1"/>
  <c r="G87" i="1"/>
  <c r="H87" i="1"/>
  <c r="F87" i="1"/>
  <c r="G82" i="1"/>
  <c r="H82" i="1"/>
  <c r="F82" i="1"/>
  <c r="G79" i="1"/>
  <c r="H79" i="1"/>
  <c r="G80" i="1"/>
  <c r="H80" i="1"/>
  <c r="F80" i="1"/>
  <c r="F79" i="1"/>
  <c r="G71" i="1"/>
  <c r="H71" i="1"/>
  <c r="F71" i="1"/>
  <c r="F69" i="1" s="1"/>
  <c r="G68" i="1"/>
  <c r="H68" i="1"/>
  <c r="F68" i="1"/>
  <c r="G67" i="1"/>
  <c r="H67" i="1"/>
  <c r="G65" i="1"/>
  <c r="H65" i="1"/>
  <c r="F65" i="1"/>
  <c r="G45" i="1"/>
  <c r="H45" i="1"/>
  <c r="F45" i="1"/>
  <c r="G64" i="1"/>
  <c r="H64" i="1"/>
  <c r="F64" i="1"/>
  <c r="G37" i="1"/>
  <c r="H37" i="1"/>
  <c r="F37" i="1"/>
  <c r="G36" i="1"/>
  <c r="H36" i="1"/>
  <c r="F36" i="1"/>
  <c r="G32" i="1"/>
  <c r="H32" i="1"/>
  <c r="F32" i="1"/>
  <c r="G30" i="1"/>
  <c r="H30" i="1"/>
  <c r="G31" i="1"/>
  <c r="H31" i="1"/>
  <c r="F31" i="1"/>
  <c r="F30" i="1"/>
  <c r="G25" i="1"/>
  <c r="H25" i="1"/>
  <c r="G26" i="1"/>
  <c r="H26" i="1"/>
  <c r="F25" i="1"/>
  <c r="F26" i="1"/>
  <c r="G20" i="1"/>
  <c r="H20" i="1"/>
  <c r="F20" i="1"/>
  <c r="H239" i="3"/>
  <c r="G237" i="3"/>
  <c r="H237" i="3"/>
  <c r="G227" i="3"/>
  <c r="H227" i="3"/>
  <c r="H226" i="3" s="1"/>
  <c r="H225" i="3" s="1"/>
  <c r="H224" i="3" s="1"/>
  <c r="H223" i="3" s="1"/>
  <c r="H113" i="3"/>
  <c r="H112" i="3" s="1"/>
  <c r="H96" i="3"/>
  <c r="F67" i="1"/>
  <c r="F272" i="1"/>
  <c r="G272" i="1"/>
  <c r="G271" i="1" s="1"/>
  <c r="H272" i="1"/>
  <c r="H271" i="1" s="1"/>
  <c r="G260" i="1"/>
  <c r="G255" i="1" s="1"/>
  <c r="H260" i="1"/>
  <c r="H255" i="1" s="1"/>
  <c r="H81" i="1" l="1"/>
  <c r="G86" i="1"/>
  <c r="G85" i="1" s="1"/>
  <c r="G84" i="1" s="1"/>
  <c r="H143" i="1"/>
  <c r="H142" i="1" s="1"/>
  <c r="G44" i="1"/>
  <c r="G43" i="1" s="1"/>
  <c r="G42" i="1" s="1"/>
  <c r="G81" i="1"/>
  <c r="H98" i="1"/>
  <c r="G143" i="1"/>
  <c r="G142" i="1" s="1"/>
  <c r="H44" i="1"/>
  <c r="H43" i="1" s="1"/>
  <c r="H42" i="1" s="1"/>
  <c r="H19" i="1"/>
  <c r="H18" i="1" s="1"/>
  <c r="H17" i="1" s="1"/>
  <c r="H96" i="1"/>
  <c r="G98" i="1"/>
  <c r="G19" i="1"/>
  <c r="G18" i="1" s="1"/>
  <c r="G17" i="1" s="1"/>
  <c r="H86" i="1"/>
  <c r="H85" i="1" s="1"/>
  <c r="H84" i="1" s="1"/>
  <c r="G96" i="1"/>
  <c r="H368" i="1"/>
  <c r="H367" i="1" s="1"/>
  <c r="H366" i="1" s="1"/>
  <c r="H365" i="1" s="1"/>
  <c r="H35" i="1"/>
  <c r="H34" i="1" s="1"/>
  <c r="H33" i="1" s="1"/>
  <c r="H69" i="1"/>
  <c r="G35" i="1"/>
  <c r="G34" i="1" s="1"/>
  <c r="G33" i="1" s="1"/>
  <c r="H63" i="1"/>
  <c r="G69" i="1"/>
  <c r="G23" i="1"/>
  <c r="G22" i="1" s="1"/>
  <c r="G21" i="1" s="1"/>
  <c r="H78" i="1"/>
  <c r="H23" i="1"/>
  <c r="H22" i="1" s="1"/>
  <c r="H21" i="1" s="1"/>
  <c r="G78" i="1"/>
  <c r="G77" i="1" s="1"/>
  <c r="G76" i="1" s="1"/>
  <c r="G75" i="1" s="1"/>
  <c r="H270" i="1"/>
  <c r="G63" i="1"/>
  <c r="H29" i="1"/>
  <c r="H28" i="1" s="1"/>
  <c r="H27" i="1" s="1"/>
  <c r="G29" i="1"/>
  <c r="G28" i="1" s="1"/>
  <c r="G27" i="1" s="1"/>
  <c r="H262" i="1"/>
  <c r="H252" i="1" s="1"/>
  <c r="H251" i="1" s="1"/>
  <c r="H172" i="1"/>
  <c r="G170" i="1"/>
  <c r="H170" i="1"/>
  <c r="F170" i="1"/>
  <c r="H250" i="1" l="1"/>
  <c r="H77" i="1"/>
  <c r="H76" i="1" s="1"/>
  <c r="H75" i="1" s="1"/>
  <c r="G267" i="14"/>
  <c r="G266" i="14" s="1"/>
  <c r="G256" i="14" s="1"/>
  <c r="H95" i="1"/>
  <c r="G95" i="1"/>
  <c r="H62" i="1"/>
  <c r="H169" i="1"/>
  <c r="H343" i="1" l="1"/>
  <c r="H341" i="1"/>
  <c r="G356" i="1"/>
  <c r="H356" i="1"/>
  <c r="G328" i="1"/>
  <c r="G327" i="1" s="1"/>
  <c r="H328" i="1"/>
  <c r="H327" i="1" s="1"/>
  <c r="F333" i="1"/>
  <c r="H333" i="1"/>
  <c r="H338" i="1"/>
  <c r="G333" i="1"/>
  <c r="G316" i="1"/>
  <c r="H316" i="1"/>
  <c r="G313" i="1"/>
  <c r="H313" i="1"/>
  <c r="H291" i="1"/>
  <c r="H290" i="1" s="1"/>
  <c r="H288" i="1"/>
  <c r="H287" i="1" s="1"/>
  <c r="H340" i="1" l="1"/>
  <c r="H332" i="1"/>
  <c r="H312" i="1"/>
  <c r="H286" i="1"/>
  <c r="H326" i="1" l="1"/>
  <c r="H283" i="1" l="1"/>
  <c r="H282" i="1" s="1"/>
  <c r="H281" i="1" s="1"/>
  <c r="H280" i="1" s="1"/>
  <c r="G108" i="1"/>
  <c r="H108" i="1"/>
  <c r="F301" i="1"/>
  <c r="G48" i="1"/>
  <c r="G47" i="1" s="1"/>
  <c r="H48" i="1"/>
  <c r="H47" i="1" s="1"/>
  <c r="G238" i="1" l="1"/>
  <c r="H238" i="1"/>
  <c r="F238" i="1"/>
  <c r="G236" i="1"/>
  <c r="H236" i="1"/>
  <c r="F236" i="1"/>
  <c r="I268" i="14" l="1"/>
  <c r="I267" i="14" s="1"/>
  <c r="I266" i="14" s="1"/>
  <c r="I256" i="14" s="1"/>
  <c r="G357" i="14"/>
  <c r="G353" i="14" s="1"/>
  <c r="I372" i="14"/>
  <c r="I352" i="14" s="1"/>
  <c r="I351" i="14" s="1"/>
  <c r="I234" i="14"/>
  <c r="I233" i="14" s="1"/>
  <c r="I224" i="14" s="1"/>
  <c r="I223" i="14" s="1"/>
  <c r="G229" i="1" l="1"/>
  <c r="G228" i="1" s="1"/>
  <c r="H229" i="1"/>
  <c r="H228" i="1" s="1"/>
  <c r="F229" i="1"/>
  <c r="F228" i="1" s="1"/>
  <c r="G323" i="1"/>
  <c r="H323" i="1"/>
  <c r="G324" i="1"/>
  <c r="H324" i="1"/>
  <c r="F324" i="1"/>
  <c r="F323" i="1"/>
  <c r="G240" i="1"/>
  <c r="H240" i="1"/>
  <c r="G227" i="1" l="1"/>
  <c r="H227" i="1"/>
  <c r="H322" i="1"/>
  <c r="H321" i="1" s="1"/>
  <c r="H176" i="1" l="1"/>
  <c r="G151" i="1"/>
  <c r="H151" i="1"/>
  <c r="F151" i="1"/>
  <c r="G148" i="1"/>
  <c r="H148" i="1"/>
  <c r="G234" i="14" l="1"/>
  <c r="G233" i="14" s="1"/>
  <c r="G224" i="14" s="1"/>
  <c r="G223" i="14" s="1"/>
  <c r="G211" i="14"/>
  <c r="F154" i="1"/>
  <c r="H154" i="1"/>
  <c r="H147" i="1" s="1"/>
  <c r="G154" i="1"/>
  <c r="G239" i="3" l="1"/>
  <c r="G236" i="3" s="1"/>
  <c r="G235" i="3" s="1"/>
  <c r="G234" i="3" s="1"/>
  <c r="G233" i="3" s="1"/>
  <c r="F239" i="3"/>
  <c r="F236" i="3" s="1"/>
  <c r="F235" i="3" s="1"/>
  <c r="F237" i="3"/>
  <c r="G231" i="3"/>
  <c r="G226" i="3" s="1"/>
  <c r="G225" i="3" s="1"/>
  <c r="G224" i="3" s="1"/>
  <c r="G223" i="3" s="1"/>
  <c r="F231" i="3"/>
  <c r="H220" i="3"/>
  <c r="H215" i="3" s="1"/>
  <c r="G220" i="3"/>
  <c r="G215" i="3" s="1"/>
  <c r="F220" i="3"/>
  <c r="F215" i="3" s="1"/>
  <c r="H218" i="3"/>
  <c r="G218" i="3"/>
  <c r="F218" i="3"/>
  <c r="H213" i="3"/>
  <c r="H212" i="3" s="1"/>
  <c r="G213" i="3"/>
  <c r="G212" i="3" s="1"/>
  <c r="F213" i="3"/>
  <c r="F212" i="3" s="1"/>
  <c r="H206" i="3"/>
  <c r="H205" i="3" s="1"/>
  <c r="H204" i="3" s="1"/>
  <c r="H203" i="3" s="1"/>
  <c r="G206" i="3"/>
  <c r="G205" i="3" s="1"/>
  <c r="G204" i="3" s="1"/>
  <c r="G203" i="3" s="1"/>
  <c r="F206" i="3"/>
  <c r="F205" i="3" s="1"/>
  <c r="F204" i="3" s="1"/>
  <c r="F203" i="3" s="1"/>
  <c r="G201" i="3"/>
  <c r="F201" i="3"/>
  <c r="H199" i="3"/>
  <c r="H198" i="3" s="1"/>
  <c r="H197" i="3" s="1"/>
  <c r="H196" i="3" s="1"/>
  <c r="G199" i="3"/>
  <c r="F199" i="3"/>
  <c r="H194" i="3"/>
  <c r="H193" i="3" s="1"/>
  <c r="H192" i="3" s="1"/>
  <c r="H191" i="3" s="1"/>
  <c r="G194" i="3"/>
  <c r="G193" i="3" s="1"/>
  <c r="G192" i="3" s="1"/>
  <c r="G191" i="3" s="1"/>
  <c r="F194" i="3"/>
  <c r="F193" i="3" s="1"/>
  <c r="F192" i="3" s="1"/>
  <c r="F191" i="3" s="1"/>
  <c r="F188" i="3"/>
  <c r="F187" i="3" s="1"/>
  <c r="F186" i="3" s="1"/>
  <c r="F185" i="3" s="1"/>
  <c r="F184" i="3" s="1"/>
  <c r="F182" i="3"/>
  <c r="F181" i="3" s="1"/>
  <c r="F180" i="3" s="1"/>
  <c r="F179" i="3" s="1"/>
  <c r="H152" i="3"/>
  <c r="H151" i="3" s="1"/>
  <c r="H150" i="3" s="1"/>
  <c r="H149" i="3" s="1"/>
  <c r="H148" i="3" s="1"/>
  <c r="G152" i="3"/>
  <c r="G151" i="3" s="1"/>
  <c r="G150" i="3" s="1"/>
  <c r="G149" i="3" s="1"/>
  <c r="F152" i="3"/>
  <c r="F151" i="3" s="1"/>
  <c r="F150" i="3" s="1"/>
  <c r="F149" i="3" s="1"/>
  <c r="G146" i="3"/>
  <c r="G145" i="3" s="1"/>
  <c r="G144" i="3" s="1"/>
  <c r="G143" i="3" s="1"/>
  <c r="F146" i="3"/>
  <c r="F145" i="3" s="1"/>
  <c r="F144" i="3" s="1"/>
  <c r="F143" i="3" s="1"/>
  <c r="G140" i="3"/>
  <c r="G139" i="3" s="1"/>
  <c r="G138" i="3" s="1"/>
  <c r="G137" i="3" s="1"/>
  <c r="F140" i="3"/>
  <c r="F139" i="3" s="1"/>
  <c r="F138" i="3" s="1"/>
  <c r="F137" i="3" s="1"/>
  <c r="F134" i="3"/>
  <c r="F133" i="3" s="1"/>
  <c r="F132" i="3" s="1"/>
  <c r="F131" i="3" s="1"/>
  <c r="H129" i="3"/>
  <c r="H128" i="3" s="1"/>
  <c r="G129" i="3"/>
  <c r="G128" i="3" s="1"/>
  <c r="F129" i="3"/>
  <c r="F128" i="3" s="1"/>
  <c r="H126" i="3"/>
  <c r="H125" i="3" s="1"/>
  <c r="G126" i="3"/>
  <c r="G125" i="3" s="1"/>
  <c r="F126" i="3"/>
  <c r="F125" i="3" s="1"/>
  <c r="H121" i="3"/>
  <c r="H120" i="3" s="1"/>
  <c r="H119" i="3" s="1"/>
  <c r="H118" i="3" s="1"/>
  <c r="G121" i="3"/>
  <c r="G120" i="3" s="1"/>
  <c r="G119" i="3" s="1"/>
  <c r="G118" i="3" s="1"/>
  <c r="F121" i="3"/>
  <c r="F120" i="3" s="1"/>
  <c r="F119" i="3" s="1"/>
  <c r="F118" i="3" s="1"/>
  <c r="G115" i="3"/>
  <c r="F115" i="3"/>
  <c r="G113" i="3"/>
  <c r="F113" i="3"/>
  <c r="H108" i="3"/>
  <c r="H107" i="3" s="1"/>
  <c r="H106" i="3" s="1"/>
  <c r="H105" i="3" s="1"/>
  <c r="H104" i="3" s="1"/>
  <c r="G108" i="3"/>
  <c r="G107" i="3" s="1"/>
  <c r="F108" i="3"/>
  <c r="F107" i="3" s="1"/>
  <c r="G102" i="3"/>
  <c r="F102" i="3"/>
  <c r="G100" i="3"/>
  <c r="F100" i="3"/>
  <c r="G98" i="3"/>
  <c r="F98" i="3"/>
  <c r="G96" i="3"/>
  <c r="F96" i="3"/>
  <c r="F83" i="3" s="1"/>
  <c r="H94" i="3"/>
  <c r="G94" i="3"/>
  <c r="F94" i="3"/>
  <c r="G92" i="3"/>
  <c r="F92" i="3"/>
  <c r="H86" i="3"/>
  <c r="H83" i="3" s="1"/>
  <c r="G86" i="3"/>
  <c r="G83" i="3" s="1"/>
  <c r="H79" i="3"/>
  <c r="G79" i="3"/>
  <c r="F79" i="3"/>
  <c r="H75" i="3"/>
  <c r="G75" i="3"/>
  <c r="F75" i="3"/>
  <c r="H71" i="3"/>
  <c r="G71" i="3"/>
  <c r="F71" i="3"/>
  <c r="H69" i="3"/>
  <c r="G69" i="3"/>
  <c r="F69" i="3"/>
  <c r="H66" i="3"/>
  <c r="G66" i="3"/>
  <c r="F66" i="3"/>
  <c r="H64" i="3"/>
  <c r="G64" i="3"/>
  <c r="F64" i="3"/>
  <c r="H62" i="3"/>
  <c r="G62" i="3"/>
  <c r="F62" i="3"/>
  <c r="H57" i="3"/>
  <c r="H56" i="3" s="1"/>
  <c r="H55" i="3" s="1"/>
  <c r="H54" i="3" s="1"/>
  <c r="G57" i="3"/>
  <c r="G56" i="3" s="1"/>
  <c r="G55" i="3" s="1"/>
  <c r="G54" i="3" s="1"/>
  <c r="F57" i="3"/>
  <c r="F56" i="3" s="1"/>
  <c r="F55" i="3" s="1"/>
  <c r="F54" i="3" s="1"/>
  <c r="F52" i="3"/>
  <c r="F51" i="3" s="1"/>
  <c r="F50" i="3" s="1"/>
  <c r="F49" i="3" s="1"/>
  <c r="H46" i="3"/>
  <c r="G46" i="3"/>
  <c r="F46" i="3"/>
  <c r="H42" i="3"/>
  <c r="G42" i="3"/>
  <c r="F42" i="3"/>
  <c r="H40" i="3"/>
  <c r="G40" i="3"/>
  <c r="F40" i="3"/>
  <c r="H32" i="3"/>
  <c r="H31" i="3" s="1"/>
  <c r="H30" i="3" s="1"/>
  <c r="H29" i="3" s="1"/>
  <c r="G32" i="3"/>
  <c r="G31" i="3" s="1"/>
  <c r="G30" i="3" s="1"/>
  <c r="G29" i="3" s="1"/>
  <c r="F32" i="3"/>
  <c r="F31" i="3" s="1"/>
  <c r="F30" i="3" s="1"/>
  <c r="F29" i="3" s="1"/>
  <c r="H25" i="3"/>
  <c r="G25" i="3"/>
  <c r="F25" i="3"/>
  <c r="H18" i="3"/>
  <c r="H17" i="3" s="1"/>
  <c r="H16" i="3" s="1"/>
  <c r="H15" i="3" s="1"/>
  <c r="G18" i="3"/>
  <c r="G17" i="3" s="1"/>
  <c r="G16" i="3" s="1"/>
  <c r="G15" i="3" s="1"/>
  <c r="F18" i="3"/>
  <c r="F17" i="3" s="1"/>
  <c r="F16" i="3" s="1"/>
  <c r="F15" i="3" s="1"/>
  <c r="F22" i="3" l="1"/>
  <c r="F21" i="3" s="1"/>
  <c r="F20" i="3" s="1"/>
  <c r="G22" i="3"/>
  <c r="G21" i="3" s="1"/>
  <c r="G20" i="3" s="1"/>
  <c r="H22" i="3"/>
  <c r="H21" i="3" s="1"/>
  <c r="H20" i="3" s="1"/>
  <c r="F157" i="3"/>
  <c r="F156" i="3" s="1"/>
  <c r="F155" i="3" s="1"/>
  <c r="F148" i="3" s="1"/>
  <c r="G157" i="3"/>
  <c r="G156" i="3" s="1"/>
  <c r="G155" i="3" s="1"/>
  <c r="G148" i="3" s="1"/>
  <c r="G61" i="3"/>
  <c r="H39" i="3"/>
  <c r="G124" i="3"/>
  <c r="G123" i="3" s="1"/>
  <c r="G117" i="3" s="1"/>
  <c r="H124" i="3"/>
  <c r="H123" i="3" s="1"/>
  <c r="H117" i="3" s="1"/>
  <c r="F124" i="3"/>
  <c r="F123" i="3" s="1"/>
  <c r="F117" i="3" s="1"/>
  <c r="H38" i="3"/>
  <c r="H37" i="3" s="1"/>
  <c r="F39" i="3"/>
  <c r="F38" i="3" s="1"/>
  <c r="F37" i="3" s="1"/>
  <c r="G136" i="3"/>
  <c r="F112" i="3"/>
  <c r="G112" i="3"/>
  <c r="G198" i="3"/>
  <c r="G197" i="3" s="1"/>
  <c r="G196" i="3" s="1"/>
  <c r="G39" i="3"/>
  <c r="G38" i="3" s="1"/>
  <c r="G37" i="3" s="1"/>
  <c r="F106" i="3"/>
  <c r="F105" i="3" s="1"/>
  <c r="F104" i="3" s="1"/>
  <c r="G211" i="3"/>
  <c r="G210" i="3" s="1"/>
  <c r="F211" i="3"/>
  <c r="F210" i="3" s="1"/>
  <c r="H211" i="3"/>
  <c r="H210" i="3" s="1"/>
  <c r="H190" i="3" s="1"/>
  <c r="F234" i="3"/>
  <c r="F233" i="3" s="1"/>
  <c r="H61" i="3"/>
  <c r="F61" i="3"/>
  <c r="G106" i="3"/>
  <c r="G105" i="3" s="1"/>
  <c r="G104" i="3" s="1"/>
  <c r="F198" i="3"/>
  <c r="F197" i="3" s="1"/>
  <c r="F196" i="3" s="1"/>
  <c r="F136" i="3"/>
  <c r="F226" i="3"/>
  <c r="F225" i="3" s="1"/>
  <c r="F224" i="3" s="1"/>
  <c r="F223" i="3" s="1"/>
  <c r="H60" i="3" l="1"/>
  <c r="H59" i="3" s="1"/>
  <c r="H14" i="3" s="1"/>
  <c r="H13" i="3" s="1"/>
  <c r="G60" i="3"/>
  <c r="G59" i="3" s="1"/>
  <c r="G190" i="3"/>
  <c r="F190" i="3"/>
  <c r="F60" i="3"/>
  <c r="F59" i="3" s="1"/>
  <c r="F14" i="3" s="1"/>
  <c r="G14" i="3"/>
  <c r="G13" i="3" l="1"/>
  <c r="F13" i="3"/>
  <c r="H102" i="1"/>
  <c r="H101" i="1" s="1"/>
  <c r="H100" i="1" s="1"/>
  <c r="H106" i="1"/>
  <c r="H105" i="1" l="1"/>
  <c r="H104" i="1" s="1"/>
  <c r="H304" i="1"/>
  <c r="H301" i="1"/>
  <c r="H319" i="1"/>
  <c r="H318" i="1" s="1"/>
  <c r="H92" i="1"/>
  <c r="H300" i="1" l="1"/>
  <c r="H363" i="1"/>
  <c r="H362" i="1" s="1"/>
  <c r="H361" i="1" s="1"/>
  <c r="H351" i="1"/>
  <c r="H348" i="1"/>
  <c r="H347" i="1" l="1"/>
  <c r="H346" i="1" s="1"/>
  <c r="H345" i="1" s="1"/>
  <c r="H226" i="1"/>
  <c r="H111" i="1" l="1"/>
  <c r="H110" i="1" s="1"/>
  <c r="F309" i="1"/>
  <c r="F308" i="1" s="1"/>
  <c r="F307" i="1" s="1"/>
  <c r="G309" i="1"/>
  <c r="G308" i="1" s="1"/>
  <c r="G307" i="1" s="1"/>
  <c r="H309" i="1"/>
  <c r="H308" i="1" s="1"/>
  <c r="H307" i="1" s="1"/>
  <c r="H306" i="1" s="1"/>
  <c r="F294" i="1"/>
  <c r="G294" i="1"/>
  <c r="F221" i="1"/>
  <c r="G221" i="1"/>
  <c r="H221" i="1"/>
  <c r="F218" i="1"/>
  <c r="G218" i="1"/>
  <c r="H218" i="1"/>
  <c r="F214" i="1"/>
  <c r="G214" i="1"/>
  <c r="H214" i="1"/>
  <c r="F213" i="1" l="1"/>
  <c r="H294" i="1"/>
  <c r="H293" i="1" s="1"/>
  <c r="G213" i="1"/>
  <c r="H213" i="1"/>
  <c r="H285" i="1" l="1"/>
  <c r="H223" i="1"/>
  <c r="H212" i="1" s="1"/>
  <c r="H211" i="1" s="1"/>
  <c r="H130" i="1"/>
  <c r="H129" i="1" s="1"/>
  <c r="H128" i="1" s="1"/>
  <c r="H127" i="1" s="1"/>
  <c r="H90" i="1" l="1"/>
  <c r="H89" i="1" s="1"/>
  <c r="H88" i="1" s="1"/>
  <c r="H83" i="1" s="1"/>
  <c r="H182" i="1"/>
  <c r="H181" i="1" s="1"/>
  <c r="H168" i="1" s="1"/>
  <c r="F160" i="1"/>
  <c r="F159" i="1" s="1"/>
  <c r="G160" i="1"/>
  <c r="G159" i="1" s="1"/>
  <c r="H160" i="1"/>
  <c r="H159" i="1" s="1"/>
  <c r="H146" i="1" s="1"/>
  <c r="F52" i="1"/>
  <c r="G52" i="1"/>
  <c r="H52" i="1"/>
  <c r="F56" i="1"/>
  <c r="G56" i="1"/>
  <c r="H56" i="1"/>
  <c r="H58" i="1"/>
  <c r="H51" i="1" l="1"/>
  <c r="G51" i="1"/>
  <c r="F51" i="1"/>
  <c r="G368" i="1"/>
  <c r="G367" i="1" s="1"/>
  <c r="G366" i="1" s="1"/>
  <c r="G365" i="1" s="1"/>
  <c r="F368" i="1"/>
  <c r="F367" i="1" s="1"/>
  <c r="F366" i="1" s="1"/>
  <c r="F365" i="1" s="1"/>
  <c r="G363" i="1"/>
  <c r="G362" i="1" s="1"/>
  <c r="G361" i="1" s="1"/>
  <c r="F363" i="1"/>
  <c r="F362" i="1" s="1"/>
  <c r="F361" i="1" s="1"/>
  <c r="G351" i="1"/>
  <c r="F351" i="1"/>
  <c r="G348" i="1"/>
  <c r="F348" i="1"/>
  <c r="G343" i="1"/>
  <c r="F343" i="1"/>
  <c r="G341" i="1"/>
  <c r="F341" i="1"/>
  <c r="G338" i="1"/>
  <c r="G332" i="1" s="1"/>
  <c r="F338" i="1"/>
  <c r="F328" i="1"/>
  <c r="F327" i="1" s="1"/>
  <c r="G319" i="1"/>
  <c r="G318" i="1" s="1"/>
  <c r="G312" i="1"/>
  <c r="F316" i="1"/>
  <c r="F313" i="1"/>
  <c r="G304" i="1"/>
  <c r="F304" i="1"/>
  <c r="G301" i="1"/>
  <c r="G291" i="1"/>
  <c r="G290" i="1" s="1"/>
  <c r="F291" i="1"/>
  <c r="F290" i="1" s="1"/>
  <c r="G288" i="1"/>
  <c r="G287" i="1" s="1"/>
  <c r="F288" i="1"/>
  <c r="F287" i="1" s="1"/>
  <c r="G283" i="1"/>
  <c r="G282" i="1" s="1"/>
  <c r="G281" i="1" s="1"/>
  <c r="G280" i="1" s="1"/>
  <c r="F283" i="1"/>
  <c r="F282" i="1" s="1"/>
  <c r="F281" i="1" s="1"/>
  <c r="F280" i="1" s="1"/>
  <c r="G278" i="1"/>
  <c r="G277" i="1" s="1"/>
  <c r="G270" i="1" s="1"/>
  <c r="F278" i="1"/>
  <c r="F277" i="1" s="1"/>
  <c r="F271" i="1"/>
  <c r="G266" i="1"/>
  <c r="F267" i="1"/>
  <c r="F266" i="1" s="1"/>
  <c r="G262" i="1"/>
  <c r="G252" i="1" s="1"/>
  <c r="F262" i="1"/>
  <c r="F260" i="1"/>
  <c r="F255" i="1" s="1"/>
  <c r="F253" i="1"/>
  <c r="G248" i="1"/>
  <c r="G247" i="1" s="1"/>
  <c r="G226" i="1" s="1"/>
  <c r="F248" i="1"/>
  <c r="F247" i="1" s="1"/>
  <c r="G223" i="1"/>
  <c r="F223" i="1"/>
  <c r="G182" i="1"/>
  <c r="G181" i="1" s="1"/>
  <c r="F182" i="1"/>
  <c r="F181" i="1" s="1"/>
  <c r="G176" i="1"/>
  <c r="F176" i="1"/>
  <c r="G172" i="1"/>
  <c r="G169" i="1" s="1"/>
  <c r="F172" i="1"/>
  <c r="F169" i="1" s="1"/>
  <c r="G147" i="1"/>
  <c r="F148" i="1"/>
  <c r="F137" i="1"/>
  <c r="F136" i="1" s="1"/>
  <c r="G130" i="1"/>
  <c r="G129" i="1" s="1"/>
  <c r="G128" i="1" s="1"/>
  <c r="G127" i="1" s="1"/>
  <c r="F129" i="1"/>
  <c r="F128" i="1" s="1"/>
  <c r="F127" i="1" s="1"/>
  <c r="G126" i="1"/>
  <c r="G125" i="1" s="1"/>
  <c r="G124" i="1" s="1"/>
  <c r="G123" i="1" s="1"/>
  <c r="G122" i="1" s="1"/>
  <c r="F126" i="1"/>
  <c r="F125" i="1" s="1"/>
  <c r="F124" i="1" s="1"/>
  <c r="F123" i="1" s="1"/>
  <c r="F122" i="1" s="1"/>
  <c r="G120" i="1"/>
  <c r="G119" i="1" s="1"/>
  <c r="F120" i="1"/>
  <c r="F119" i="1" s="1"/>
  <c r="G111" i="1"/>
  <c r="F111" i="1"/>
  <c r="F106" i="1"/>
  <c r="G106" i="1"/>
  <c r="G102" i="1"/>
  <c r="G101" i="1" s="1"/>
  <c r="G100" i="1" s="1"/>
  <c r="F102" i="1"/>
  <c r="F101" i="1" s="1"/>
  <c r="F100" i="1" s="1"/>
  <c r="F98" i="1"/>
  <c r="F96" i="1"/>
  <c r="G92" i="1"/>
  <c r="G90" i="1"/>
  <c r="F90" i="1"/>
  <c r="F86" i="1"/>
  <c r="F85" i="1" s="1"/>
  <c r="F84" i="1" s="1"/>
  <c r="F81" i="1"/>
  <c r="F78" i="1"/>
  <c r="G58" i="1"/>
  <c r="F48" i="1"/>
  <c r="F47" i="1" s="1"/>
  <c r="F44" i="1"/>
  <c r="F43" i="1" s="1"/>
  <c r="F42" i="1" s="1"/>
  <c r="G40" i="1"/>
  <c r="G39" i="1" s="1"/>
  <c r="G38" i="1" s="1"/>
  <c r="F40" i="1"/>
  <c r="F39" i="1" s="1"/>
  <c r="F38" i="1" s="1"/>
  <c r="F35" i="1"/>
  <c r="F34" i="1" s="1"/>
  <c r="F33" i="1" s="1"/>
  <c r="F29" i="1"/>
  <c r="F28" i="1" s="1"/>
  <c r="F27" i="1" s="1"/>
  <c r="F23" i="1"/>
  <c r="F22" i="1" s="1"/>
  <c r="F21" i="1" s="1"/>
  <c r="F19" i="1"/>
  <c r="F18" i="1" s="1"/>
  <c r="F17" i="1" s="1"/>
  <c r="G251" i="1" l="1"/>
  <c r="G250" i="1" s="1"/>
  <c r="G168" i="1"/>
  <c r="F168" i="1"/>
  <c r="H50" i="1"/>
  <c r="H46" i="1" s="1"/>
  <c r="H16" i="1" s="1"/>
  <c r="F252" i="1"/>
  <c r="G105" i="1"/>
  <c r="G104" i="1" s="1"/>
  <c r="F332" i="1"/>
  <c r="G89" i="1"/>
  <c r="G50" i="1"/>
  <c r="F147" i="1"/>
  <c r="F212" i="1"/>
  <c r="F211" i="1" s="1"/>
  <c r="F110" i="1"/>
  <c r="G300" i="1"/>
  <c r="G293" i="1" s="1"/>
  <c r="F347" i="1"/>
  <c r="G212" i="1"/>
  <c r="G211" i="1" s="1"/>
  <c r="F300" i="1"/>
  <c r="F293" i="1" s="1"/>
  <c r="F95" i="1"/>
  <c r="F143" i="1"/>
  <c r="F142" i="1" s="1"/>
  <c r="F135" i="1" s="1"/>
  <c r="F286" i="1"/>
  <c r="G347" i="1"/>
  <c r="F322" i="1"/>
  <c r="F321" i="1" s="1"/>
  <c r="F312" i="1"/>
  <c r="G146" i="1"/>
  <c r="G340" i="1"/>
  <c r="G326" i="1" s="1"/>
  <c r="F77" i="1"/>
  <c r="F76" i="1" s="1"/>
  <c r="F75" i="1" s="1"/>
  <c r="F63" i="1"/>
  <c r="G62" i="1"/>
  <c r="F270" i="1"/>
  <c r="G322" i="1"/>
  <c r="G321" i="1" s="1"/>
  <c r="F340" i="1"/>
  <c r="F356" i="1"/>
  <c r="G110" i="1"/>
  <c r="G286" i="1"/>
  <c r="F251" i="1" l="1"/>
  <c r="F250" i="1" s="1"/>
  <c r="F146" i="1"/>
  <c r="G88" i="1"/>
  <c r="G83" i="1" s="1"/>
  <c r="F62" i="1"/>
  <c r="F326" i="1"/>
  <c r="G306" i="1"/>
  <c r="G346" i="1"/>
  <c r="G345" i="1" s="1"/>
  <c r="F346" i="1"/>
  <c r="F345" i="1" s="1"/>
  <c r="G46" i="1" l="1"/>
  <c r="G16" i="1" s="1"/>
  <c r="G285" i="1"/>
  <c r="G87" i="14" l="1"/>
  <c r="G86" i="14" s="1"/>
  <c r="G63" i="14" s="1"/>
  <c r="G56" i="14" s="1"/>
  <c r="G16" i="14" s="1"/>
  <c r="F58" i="1"/>
  <c r="F50" i="1" s="1"/>
  <c r="F46" i="1" s="1"/>
  <c r="F16" i="1" s="1"/>
  <c r="F92" i="1"/>
  <c r="F89" i="1" s="1"/>
  <c r="F88" i="1" s="1"/>
  <c r="G144" i="14"/>
  <c r="G143" i="14" s="1"/>
  <c r="G131" i="14" s="1"/>
  <c r="G130" i="14" s="1"/>
  <c r="F108" i="1"/>
  <c r="F105" i="1" s="1"/>
  <c r="F104" i="1" s="1"/>
  <c r="G167" i="14"/>
  <c r="G166" i="14" s="1"/>
  <c r="G162" i="14" s="1"/>
  <c r="G161" i="14" s="1"/>
  <c r="G124" i="14" s="1"/>
  <c r="F83" i="1" l="1"/>
  <c r="I213" i="14"/>
  <c r="I212" i="14" s="1"/>
  <c r="I211" i="14" s="1"/>
  <c r="I210" i="14" s="1"/>
  <c r="I209" i="14" s="1"/>
  <c r="I15" i="14" s="1"/>
  <c r="H137" i="1"/>
  <c r="H136" i="1" s="1"/>
  <c r="H135" i="1" s="1"/>
  <c r="H134" i="1" s="1"/>
  <c r="H15" i="1" s="1"/>
  <c r="H213" i="14"/>
  <c r="H212" i="14" s="1"/>
  <c r="H211" i="14" s="1"/>
  <c r="H210" i="14" s="1"/>
  <c r="H209" i="14" s="1"/>
  <c r="H15" i="14" s="1"/>
  <c r="G137" i="1"/>
  <c r="G136" i="1" s="1"/>
  <c r="G135" i="1" s="1"/>
  <c r="G134" i="1" s="1"/>
  <c r="G15" i="1" s="1"/>
  <c r="E24" i="9" l="1"/>
  <c r="E14" i="9" s="1"/>
  <c r="D24" i="9"/>
  <c r="D14" i="9" s="1"/>
  <c r="G291" i="14" l="1"/>
  <c r="G290" i="14" s="1"/>
  <c r="G289" i="14" s="1"/>
  <c r="F193" i="1"/>
  <c r="F192" i="1" s="1"/>
  <c r="F188" i="1" s="1"/>
  <c r="G372" i="14"/>
  <c r="F227" i="1"/>
  <c r="F226" i="1" s="1"/>
  <c r="F319" i="1"/>
  <c r="F318" i="1" s="1"/>
  <c r="F306" i="1" s="1"/>
  <c r="F285" i="1" s="1"/>
  <c r="G477" i="14"/>
  <c r="G476" i="14" s="1"/>
  <c r="G475" i="14" s="1"/>
  <c r="G460" i="14" s="1"/>
  <c r="G429" i="14" s="1"/>
  <c r="F134" i="1" l="1"/>
  <c r="F15" i="1" s="1"/>
  <c r="G369" i="14"/>
  <c r="G352" i="14" s="1"/>
  <c r="G209" i="14" s="1"/>
  <c r="G15" i="14" s="1"/>
  <c r="C24" i="9" l="1"/>
  <c r="C14" i="9" s="1"/>
</calcChain>
</file>

<file path=xl/sharedStrings.xml><?xml version="1.0" encoding="utf-8"?>
<sst xmlns="http://schemas.openxmlformats.org/spreadsheetml/2006/main" count="5052" uniqueCount="695">
  <si>
    <t>Приложение № 4</t>
  </si>
  <si>
    <t>к проекту решения Районного</t>
  </si>
  <si>
    <t>Совета депутатов</t>
  </si>
  <si>
    <t>муниципального образования</t>
  </si>
  <si>
    <t>"Ленский район"</t>
  </si>
  <si>
    <t>(в руб.)</t>
  </si>
  <si>
    <t>Наименование</t>
  </si>
  <si>
    <t>Рз</t>
  </si>
  <si>
    <t>Пр</t>
  </si>
  <si>
    <t>ЦСР</t>
  </si>
  <si>
    <t>ВР</t>
  </si>
  <si>
    <t>Сумма на 2024 год</t>
  </si>
  <si>
    <t>Сумма на 2025 год</t>
  </si>
  <si>
    <t>ВСЕГО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</si>
  <si>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</si>
  <si>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</si>
  <si>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</si>
  <si>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</si>
  <si>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расходы</t>
  </si>
  <si>
    <t>9900000000</t>
  </si>
  <si>
    <t>Руководство и управление в сфере установленных функций органов местного самоуправления</t>
  </si>
  <si>
    <t>9910000000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</si>
  <si>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</si>
  <si>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</si>
  <si>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</si>
  <si>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</si>
  <si>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</si>
  <si>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</si>
  <si>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</si>
  <si>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</si>
  <si>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</si>
  <si>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</si>
  <si>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</si>
  <si>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</si>
  <si>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</si>
  <si>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</si>
  <si>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</si>
  <si>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Резервные фонды местных администраций</t>
  </si>
  <si>
    <t>9950000000</t>
  </si>
  <si>
    <t>Другие общегосударственные вопросы</t>
  </si>
  <si>
    <t>13</t>
  </si>
  <si>
    <t>Обеспечение качественным жильем и повышение качества жилищно-коммунальных услуг в Ленском районе</t>
  </si>
  <si>
    <t>6100000000</t>
  </si>
  <si>
    <t>Ведомственные проекты</t>
  </si>
  <si>
    <t>6130000000</t>
  </si>
  <si>
    <t>Управление муниципальной собственностью МО "Ленский район" РС (Я)</t>
  </si>
  <si>
    <t>7300000000</t>
  </si>
  <si>
    <t>7330000000</t>
  </si>
  <si>
    <t>Капитальные вложения в объекты государственной (муниципальной) собственности</t>
  </si>
  <si>
    <t>400</t>
  </si>
  <si>
    <t>Комплексы процессных мероприятий</t>
  </si>
  <si>
    <t>7340000000</t>
  </si>
  <si>
    <t>Социальное обеспечение и иные выплаты населению</t>
  </si>
  <si>
    <t>300</t>
  </si>
  <si>
    <t>Предоставление субсидий бюджетным, автономным учреждениям и иным некоммерческим организациям</t>
  </si>
  <si>
    <t>600</t>
  </si>
  <si>
    <t>Прочие непрограммные расходы</t>
  </si>
  <si>
    <t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</si>
  <si>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</si>
  <si>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>10</t>
  </si>
  <si>
    <t>НАЦИОНАЛЬНАЯ ЭКОНОМИКА</t>
  </si>
  <si>
    <t>Общеэкономические вопросы</t>
  </si>
  <si>
    <t>Сельское хозяйство и рыболовство</t>
  </si>
  <si>
    <t>05</t>
  </si>
  <si>
    <t>Развитие сельского хозяйства и регулирование рынков сельскохозяйственной продукции, сырья и продовольствия Ленского района Республики Саха (Якутия)</t>
  </si>
  <si>
    <t>6700000000</t>
  </si>
  <si>
    <t>6730000000</t>
  </si>
  <si>
    <t>6740000000</t>
  </si>
  <si>
    <t>Транспорт</t>
  </si>
  <si>
    <t>08</t>
  </si>
  <si>
    <t>Развитие транспортного комплекса муниципального образования  «Ленский район»</t>
  </si>
  <si>
    <t>6000000000</t>
  </si>
  <si>
    <t>6030000000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</si>
  <si>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</si>
  <si>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</si>
  <si>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</si>
  <si>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</si>
  <si>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6800000000</t>
  </si>
  <si>
    <t>6830000000</t>
  </si>
  <si>
    <t>ЖИЛИЩНО-КОММУНАЛЬНОЕ ХОЗЯЙСТВО</t>
  </si>
  <si>
    <t>Благоустройство</t>
  </si>
  <si>
    <t>ОХРАНА ОКРУЖАЮЩЕЙ СРЕДЫ</t>
  </si>
  <si>
    <t>Охрана объектов растительного и животного мира и среды их обитания</t>
  </si>
  <si>
    <t>Охрана окружающей среды  и природных ресурсов в  Ленском  районе</t>
  </si>
  <si>
    <t>Межбюджетные трансферты</t>
  </si>
  <si>
    <t>ОБРАЗОВАНИЕ</t>
  </si>
  <si>
    <t>Дошкольное образование</t>
  </si>
  <si>
    <t xml:space="preserve">Развитие образования в Ленском районе </t>
  </si>
  <si>
    <t>5800000000</t>
  </si>
  <si>
    <t>5840000000</t>
  </si>
  <si>
    <t>Общее образование</t>
  </si>
  <si>
    <t>Региональные проекты, входящие в национальные проекты</t>
  </si>
  <si>
    <t>5810000000</t>
  </si>
  <si>
    <t>5820000000</t>
  </si>
  <si>
    <t>Дополнительное образование детей</t>
  </si>
  <si>
    <t xml:space="preserve">Развитие культуры Ленского района </t>
  </si>
  <si>
    <t>5000000000</t>
  </si>
  <si>
    <t>'Комплексы процессных мероприятий</t>
  </si>
  <si>
    <t>5040000000</t>
  </si>
  <si>
    <t xml:space="preserve">Молодежная политика </t>
  </si>
  <si>
    <t>Реализация молодежной политики, патриотического воспитания граждан и развитие гражданского общества  в Ленском районе</t>
  </si>
  <si>
    <t>5200000000</t>
  </si>
  <si>
    <t>5230000000</t>
  </si>
  <si>
    <t>5240000000</t>
  </si>
  <si>
    <t>Другие вопросы в области образования</t>
  </si>
  <si>
    <t>5830000000</t>
  </si>
  <si>
    <t>КУЛЬТУРА И КИНЕМАТОГРАФИЯ</t>
  </si>
  <si>
    <t>Культура</t>
  </si>
  <si>
    <t>5010000000</t>
  </si>
  <si>
    <t>5030000000</t>
  </si>
  <si>
    <t>Комплексное развитие сельских территорий</t>
  </si>
  <si>
    <t>6500000000</t>
  </si>
  <si>
    <t>6530000000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</si>
  <si>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</si>
  <si>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</si>
  <si>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</si>
  <si>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5600000000</t>
  </si>
  <si>
    <t>5630000000</t>
  </si>
  <si>
    <t>СОЦИАЛЬНАЯ ПОЛИТИКА</t>
  </si>
  <si>
    <t>Пенсионное обеспечение</t>
  </si>
  <si>
    <t>Социальная поддержка граждан Ленского района</t>
  </si>
  <si>
    <t>5500000000</t>
  </si>
  <si>
    <t>5540000000</t>
  </si>
  <si>
    <t>Социальное обеспечение населения</t>
  </si>
  <si>
    <t>Капитальные вложения в объекты 
государственной (муниципальной) собственности</t>
  </si>
  <si>
    <t>6140000000</t>
  </si>
  <si>
    <t>Охрана семьи и детства</t>
  </si>
  <si>
    <t>5530000000</t>
  </si>
  <si>
    <t>Другие вопросы в области социальной политики</t>
  </si>
  <si>
    <t xml:space="preserve">Профилактика правонарушений в Ленском районе </t>
  </si>
  <si>
    <t>5400000000</t>
  </si>
  <si>
    <t>5430000000</t>
  </si>
  <si>
    <t>ФИЗИЧЕСКАЯ КУЛЬТУРА И СПОРТ</t>
  </si>
  <si>
    <t>Физическая культура</t>
  </si>
  <si>
    <t>Развитие физической культуры и спорта в Ленском районе</t>
  </si>
  <si>
    <t>5700000000</t>
  </si>
  <si>
    <t>5730000000</t>
  </si>
  <si>
    <t>5740000000</t>
  </si>
  <si>
    <t>МЕЖБЮДЖЕТНЫЕ ТРАНСФЕРТЫ ОБЩЕГО ХАРАКТЕРА БЮДЖЕТАМ СУБЪЕКТОВ РОССИЙСКОЙ ФЕДЕРАЦИИ И МУНИЦИПАЛЬНЫХ ОБРАЗОВАНИЙ</t>
  </si>
  <si>
    <t>14</t>
  </si>
  <si>
    <t>Прочие межбюджетные трансферты общего характера</t>
  </si>
  <si>
    <t>9960000000</t>
  </si>
  <si>
    <t>500</t>
  </si>
  <si>
    <t>Сумма на 2026 год</t>
  </si>
  <si>
    <t>Ведомственный проект "Управление недвижимостью"</t>
  </si>
  <si>
    <t>Ведомственный проект "Управление земельными ресурсами"</t>
  </si>
  <si>
    <t>Ведомственный проект  «Мотивирование населения на ведение трезвого здорового образа жизни»</t>
  </si>
  <si>
    <t>Ведомственный проект «Воспитание патриотизма у граждан – национальная идея государства»</t>
  </si>
  <si>
    <t>Ведомственный проект «Создание условий для развития потенциала подрастающего поколения, молодежи»</t>
  </si>
  <si>
    <t>Ведомственный проект «Содействие развитию гражданского общества»</t>
  </si>
  <si>
    <t>Ведомственный проект  «Семейная политика»</t>
  </si>
  <si>
    <t>Развитие  предпринимательства  Ленского района</t>
  </si>
  <si>
    <t>Спорт высших достижений</t>
  </si>
  <si>
    <t>к проекту решенияРайонного</t>
  </si>
  <si>
    <t>Всего</t>
  </si>
  <si>
    <t>Глава муниципального образования</t>
  </si>
  <si>
    <t>9910011600</t>
  </si>
  <si>
    <t>Депутаты представительного органа муниципального образования</t>
  </si>
  <si>
    <t>9910011720</t>
  </si>
  <si>
    <t>Расходы на содержание органов местного самоуправления</t>
  </si>
  <si>
    <t>9910011410</t>
  </si>
  <si>
    <t>Председатель контрольно-счетной палаты муниципального образования и его заместители</t>
  </si>
  <si>
    <t>9910011740</t>
  </si>
  <si>
    <t>Резервный фонд местной администрации</t>
  </si>
  <si>
    <t>9950071100</t>
  </si>
  <si>
    <t>Расходы на обеспечение деятельности (оказание услуг) муниципальных учреждений</t>
  </si>
  <si>
    <t>Выполнение других обязательств муниципальных образований</t>
  </si>
  <si>
    <t>9950091019</t>
  </si>
  <si>
    <t>Единовременная выплата к знаку отличия "За заслуги перед Ленским районом"</t>
  </si>
  <si>
    <t>99500Р1012</t>
  </si>
  <si>
    <t>Расходы по предупреждению и ликвидации последствий чрезвычайных ситуаций и стихийных бедствий природного и техногенного характера</t>
  </si>
  <si>
    <t>9950091003</t>
  </si>
  <si>
    <t>Расходы по обеспечению противопожарной и антитеррористической безопасности</t>
  </si>
  <si>
    <t>9950091004</t>
  </si>
  <si>
    <t>9910022001</t>
  </si>
  <si>
    <t>Жилищное хозяйство</t>
  </si>
  <si>
    <t>Расходы в области жилищно-коммунального хозяйства</t>
  </si>
  <si>
    <t>9950091009</t>
  </si>
  <si>
    <t>Расходы по благоустройству</t>
  </si>
  <si>
    <t>9950091011</t>
  </si>
  <si>
    <t>КУЛЬТУРА,  КИНЕМАТОГРАФИЯ</t>
  </si>
  <si>
    <t>Расходы в области культурно-досуговой деятельности</t>
  </si>
  <si>
    <t>9950091013</t>
  </si>
  <si>
    <t>Пенсии за выслугу лет лицам, замещавшим муниципальные должности и должности муниципальной службы муниципального образования «Ленский район»</t>
  </si>
  <si>
    <t>99500Р1010</t>
  </si>
  <si>
    <t>Расходы в области социального обеспечения населения</t>
  </si>
  <si>
    <t>9950091012</t>
  </si>
  <si>
    <t>Ежемесячное денежное вознаграждение Почетным гражданам Ленского района</t>
  </si>
  <si>
    <t>99500Р1011</t>
  </si>
  <si>
    <t>Расходы в области спорта и физической культуры</t>
  </si>
  <si>
    <t>9950091014</t>
  </si>
  <si>
    <t>Субсидии, передаваемые в государственный бюджет  (отрицательный трансферт)</t>
  </si>
  <si>
    <t>9960088300</t>
  </si>
  <si>
    <t>Иные  межбюджетные трансферты за счет местного бюджета</t>
  </si>
  <si>
    <t>Ведомственный проект «Спорт доступный каждому»</t>
  </si>
  <si>
    <t>Ведомственный проект «Реализация мер по социальной поддержке и по обеспечению безопасных условий труда»</t>
  </si>
  <si>
    <t>Ведомственный проект «Поощрение лучших педагогических работников»</t>
  </si>
  <si>
    <t>Ведомственный проект «Дорожное хозяйство</t>
  </si>
  <si>
    <t>Ведомственный проект «Развитие маршрутной сети и инфраструктуры пассажирского транспорта»</t>
  </si>
  <si>
    <t>6040000000</t>
  </si>
  <si>
    <t>Ведомственный проект «Развитие отраслей агропромышленного комплекса Ленского района»</t>
  </si>
  <si>
    <t>Ведомственный проект «Создание благоприятных условий для развития предпринимательства»</t>
  </si>
  <si>
    <t>Ведомственный проект "Сохранение качества окружающей среды и улучшение экологической ситуации в районе"</t>
  </si>
  <si>
    <r>
      <t xml:space="preserve">Распределение бюджетных ассигнований по разделам, подразделам, целевым статьям, группам видов расходов классификации расходов бюджета муниципального образования "Ленский район" на 2024 год и плановый период 2025 и 2026 годов
</t>
    </r>
    <r>
      <rPr>
        <sz val="12"/>
        <rFont val="Arial"/>
        <family val="2"/>
        <charset val="204"/>
      </rPr>
      <t>(без федеральных и республиканских средств)</t>
    </r>
    <r>
      <rPr>
        <b/>
        <sz val="12"/>
        <rFont val="Arial"/>
        <family val="2"/>
        <charset val="204"/>
      </rPr>
      <t xml:space="preserve">
</t>
    </r>
  </si>
  <si>
    <t>Ведомственный проект «Развитие системы поддержки талантливых детей»</t>
  </si>
  <si>
    <t>Ведомственный проект «Организация и обеспечение отдыха и оздоровления детей»</t>
  </si>
  <si>
    <t>Ведомственный проект «Развитие педагогического потенциала»</t>
  </si>
  <si>
    <t xml:space="preserve">Ведомственный проект «Градостроительная деятельность, развитие и освоение территорий Ленского района» </t>
  </si>
  <si>
    <t xml:space="preserve">Ведомственные проекты
« Обеспечение граждан доступным и комфортным жильем» 
</t>
  </si>
  <si>
    <t>Ведомственный проект «Повышение эффективности работы в сфере профилактики правонарушений»</t>
  </si>
  <si>
    <t>Ведомственный проект "Воспитание и дополнительное образование"</t>
  </si>
  <si>
    <t>Ведомственный проект "Сохранение культурного и исторического наследия, расширение доступа населения к культурным ценностям и информации"</t>
  </si>
  <si>
    <t>Ведомственный проект «Обеспечение прав граждан на участие в культурной жизни»</t>
  </si>
  <si>
    <r>
      <t xml:space="preserve">Распределение
бюджетных ассигнований  по разделам, подразделам, целевым статьям  непрограммных направлений деятельности, группам видов расходов  классификации расходов бюджета муниципального образования "Ленский район" на 2024 год и плановый период 2025 и 2026 годов
</t>
    </r>
    <r>
      <rPr>
        <sz val="12"/>
        <rFont val="Arial"/>
        <family val="2"/>
        <charset val="204"/>
      </rPr>
      <t>(без федеральных и республиканских средств)</t>
    </r>
  </si>
  <si>
    <t>Приложение № 6</t>
  </si>
  <si>
    <t xml:space="preserve">Ведомственная структура расходов  бюджета муниципального образования "Ленский район" на 2024 год и плановый период на 2025 и 2026 годов 
(без федеральных и республиканских средств)
</t>
  </si>
  <si>
    <t>Приложение № 5</t>
  </si>
  <si>
    <t>Администрация муниципального образования "Ленский район" Республики Саха (Якутия)</t>
  </si>
  <si>
    <t>701</t>
  </si>
  <si>
    <t>Вед</t>
  </si>
  <si>
    <t xml:space="preserve">Руководство и управление в сфере установленных функций органов местного самоуправления </t>
  </si>
  <si>
    <t>Руководство и управление в сфере установленных функций</t>
  </si>
  <si>
    <t>Реализация мероприятий по обеспечению жильем молодых семей</t>
  </si>
  <si>
    <t>в рублях</t>
  </si>
  <si>
    <t>№</t>
  </si>
  <si>
    <t>Наименование, наименование поселения</t>
  </si>
  <si>
    <t>Дотация на выравнивание уровня бюджетной обеспеченности, в том числе:</t>
  </si>
  <si>
    <t>1.1.</t>
  </si>
  <si>
    <t>МО "Город Ленск"</t>
  </si>
  <si>
    <t>1.2.</t>
  </si>
  <si>
    <t>МО "Поселок Витим"</t>
  </si>
  <si>
    <t>1.3.</t>
  </si>
  <si>
    <t>МО "Поселок Пеледуй"</t>
  </si>
  <si>
    <t>1.4.</t>
  </si>
  <si>
    <t>МО "Беченчинский наслег"</t>
  </si>
  <si>
    <t>1.5.</t>
  </si>
  <si>
    <t>МО "Мурбайский наслег"</t>
  </si>
  <si>
    <t>1.6.</t>
  </si>
  <si>
    <t>МО "Наторинский наслег"</t>
  </si>
  <si>
    <t>1.7.</t>
  </si>
  <si>
    <t>МО "Нюйский наслег"</t>
  </si>
  <si>
    <t>1.8.</t>
  </si>
  <si>
    <t>МО "Орто-Нахаринский наслег"</t>
  </si>
  <si>
    <t>1.9.</t>
  </si>
  <si>
    <t>МО "Салдыкельский наслег"</t>
  </si>
  <si>
    <t>1.10.</t>
  </si>
  <si>
    <t>МО "Толонский наслег"</t>
  </si>
  <si>
    <t>1.11.</t>
  </si>
  <si>
    <t>МО "Ярославский наслег"</t>
  </si>
  <si>
    <t>2.</t>
  </si>
  <si>
    <t>Субвенция на выполнение отдельных государственных полномочий на организацию мероприятий по предупреждению и ликвидации болезней животных, их лечению, защите населения от болезней, общих для человека и животных</t>
  </si>
  <si>
    <t>2.1.</t>
  </si>
  <si>
    <t>3.</t>
  </si>
  <si>
    <t>Межбюджетные трансферты общего характера бюджетам субъектов Российской Федерации и муниципальным образованиям</t>
  </si>
  <si>
    <t>3.1.</t>
  </si>
  <si>
    <t>3.1.1.</t>
  </si>
  <si>
    <t>Государственный бюджет Республики Саха (Якутия)</t>
  </si>
  <si>
    <t>3.2.</t>
  </si>
  <si>
    <t>3.2.1.</t>
  </si>
  <si>
    <t>3.2.2.</t>
  </si>
  <si>
    <t>3.2.3.</t>
  </si>
  <si>
    <t>3.2.4.</t>
  </si>
  <si>
    <t>3.2.5.</t>
  </si>
  <si>
    <t>3.2.6.</t>
  </si>
  <si>
    <t>3.2.7.</t>
  </si>
  <si>
    <t>3.2.8.</t>
  </si>
  <si>
    <t>3.2.9.</t>
  </si>
  <si>
    <t>3.2.10.</t>
  </si>
  <si>
    <t>3.2.11.</t>
  </si>
  <si>
    <t xml:space="preserve">Объем межбюджетных трансфертов предоставляемых другим бюджетам бюджетной системы Российской Федерации из бюджета муниципального образования "Ленский район" на 2024 год и плановый период 2025 и 2026 годов </t>
  </si>
  <si>
    <t>Муниципальные ценные бумаги</t>
  </si>
  <si>
    <t>Прочие источники внутреннего финансирования дефицита</t>
  </si>
  <si>
    <t>погашение задолженности</t>
  </si>
  <si>
    <t>Наименование показателя</t>
  </si>
  <si>
    <t>Источники финансирования дефицита бюджета, всего</t>
  </si>
  <si>
    <t> 1</t>
  </si>
  <si>
    <t xml:space="preserve"> </t>
  </si>
  <si>
    <t> 1.1</t>
  </si>
  <si>
    <t>привлечение основного долга</t>
  </si>
  <si>
    <t> 1.2</t>
  </si>
  <si>
    <t>погашение основного долга</t>
  </si>
  <si>
    <t> 2</t>
  </si>
  <si>
    <t>Бюджетные кредиты, полученные от других бюджетов</t>
  </si>
  <si>
    <t> 2.1</t>
  </si>
  <si>
    <t> 2.2</t>
  </si>
  <si>
    <t> 3.</t>
  </si>
  <si>
    <t>Кредиты, полученные от кредитных организаций</t>
  </si>
  <si>
    <t> 3.1</t>
  </si>
  <si>
    <t> 3.2</t>
  </si>
  <si>
    <t>4.</t>
  </si>
  <si>
    <t>Изменение остатков средств на счетах по учету средств бюджетов</t>
  </si>
  <si>
    <t>4.1</t>
  </si>
  <si>
    <t>увеличение остатков средств бюджета</t>
  </si>
  <si>
    <t>4.2</t>
  </si>
  <si>
    <t>уменьшение остатков средств бюджета</t>
  </si>
  <si>
    <t>5.</t>
  </si>
  <si>
    <t>Иные источники внутреннего финансирования дефицита, в том числе:</t>
  </si>
  <si>
    <t> 5.1</t>
  </si>
  <si>
    <t>Акции и иные формы участия в капитале в муниципальной собственности</t>
  </si>
  <si>
    <t> 5.1.1</t>
  </si>
  <si>
    <t>поступления от продажи акций</t>
  </si>
  <si>
    <t> 5.1.2</t>
  </si>
  <si>
    <t>приобретение акций</t>
  </si>
  <si>
    <t> 5.2</t>
  </si>
  <si>
    <t>Земельные участки, находящиеся в муниципальной собственности</t>
  </si>
  <si>
    <t> 5.2.1</t>
  </si>
  <si>
    <t>поступления от продажи земельных участков</t>
  </si>
  <si>
    <t> 5.2.2</t>
  </si>
  <si>
    <t> приобретение земельных участков</t>
  </si>
  <si>
    <t> 5.3</t>
  </si>
  <si>
    <t>Исполнение муниципальных гарантий</t>
  </si>
  <si>
    <t>5.4</t>
  </si>
  <si>
    <t>Бюджетные кредиты, предоставленные внутри страны в валюте Российской Федерации</t>
  </si>
  <si>
    <t> 5.4.1</t>
  </si>
  <si>
    <t>предоставление бюджетных кредитов</t>
  </si>
  <si>
    <t> 5.4.2</t>
  </si>
  <si>
    <t>погашение (возврат) бюджетных кредитов</t>
  </si>
  <si>
    <t> 5.5</t>
  </si>
  <si>
    <t> 5.5.1</t>
  </si>
  <si>
    <t xml:space="preserve">Источники финансирования дефицита бюджета муниципального образования "Ленский район" на 2024 год и плановый период 2025 и 2026 годов  </t>
  </si>
  <si>
    <t>ВСЕГО:</t>
  </si>
  <si>
    <t>КБК</t>
  </si>
  <si>
    <t>182 1 05 00000 00 0000 000</t>
  </si>
  <si>
    <t xml:space="preserve">Налог на добычу общераспространенных полезных ископаемых
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</si>
  <si>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</si>
  <si>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</si>
  <si>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000 1 11 05013 13 0000 120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</si>
  <si>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</si>
  <si>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Плата за размещение отходов производства</t>
  </si>
  <si>
    <t>Плата за размещение твердых коммунальных отходов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</si>
  <si>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</si>
  <si>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000 1 14 06013 13 0000 430</t>
  </si>
  <si>
    <t>Прогнозируемые доходы  бюджета муниципального образования "Ленский район" по группам, подгруппам, статьям, подстатьям и элементам видов доходов, группам и аналитическим группам подвидов доходов на 2024 год и на плановый период 2025 и 2026 годов</t>
  </si>
  <si>
    <t>182 1 01 02000 01 0000 110</t>
  </si>
  <si>
    <t>Налог на доходы физических лиц</t>
  </si>
  <si>
    <t>182 1 01 02010 01 0000 110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</si>
  <si>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</si>
  <si>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</si>
  <si>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</si>
  <si>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</si>
  <si>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</si>
  <si>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182 1 01 02040 01 0000 110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</si>
  <si>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</si>
  <si>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>182 1 01 02080 01 0000 110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</si>
  <si>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</si>
  <si>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НАЛОГИ НА ТОВАРЫ (РАБОТЫ, УСЛУГИ), РЕАЛИЗУЕМЫЕ НА ТЕРРИТОРИИ РОССИЙСКОЙ ФЕДЕРАЦИИ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</si>
  <si>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</si>
  <si>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</si>
  <si>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</si>
  <si>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</si>
  <si>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</si>
  <si>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</si>
  <si>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</si>
  <si>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182 1 05 01011 01 0000 110</t>
  </si>
  <si>
    <t xml:space="preserve">Налог, взимаемый с налогоплательщиков, выбравших в качестве объекта налогообложения доходы
</t>
  </si>
  <si>
    <t>182 1 05 01021 01 0000 110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</si>
  <si>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</si>
  <si>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>182 1 05 03010 01 0000 110</t>
  </si>
  <si>
    <t xml:space="preserve">Единый сельскохозяйственный налог
</t>
  </si>
  <si>
    <t xml:space="preserve">182 1 05 04020 02 0000 110
</t>
  </si>
  <si>
    <t xml:space="preserve">Налог, взимаемый в связи с применением патентной системы налогообложения, зачисляемый в бюджеты муниципальных районов 
</t>
  </si>
  <si>
    <t>182 1 06 00000 00 0000 000</t>
  </si>
  <si>
    <t>НАЛОГИ НА ИМУЩЕСТВО</t>
  </si>
  <si>
    <t>182 1 06 06033 05 0000 110</t>
  </si>
  <si>
    <t xml:space="preserve">Земельный налог с организаций, обладающих земельным участком, расположенным в границах межселенных территорий
</t>
  </si>
  <si>
    <t>182 1 06 06043 05 0000 110</t>
  </si>
  <si>
    <t xml:space="preserve">Земельный налог с физических лиц, обладающих земельным участком, расположенным в границах межселенных территорий
</t>
  </si>
  <si>
    <t>182 1 07 00000 00 0000 000</t>
  </si>
  <si>
    <t>НАЛОГИ, СБОРЫ И РЕГУЛЯРНЫЕ ПЛАТЕЖИ ЗА ПОЛЬЗОВАНИЕ ПРИРОДНЫМИ РЕСУРСАМИ</t>
  </si>
  <si>
    <t>182 1 07 01020 01 0000 110</t>
  </si>
  <si>
    <t>000 1 08 0000000 0000 000</t>
  </si>
  <si>
    <t>ГОСУДАРСТВЕННАЯ ПОШЛИНА</t>
  </si>
  <si>
    <t>182 1 08 03010 01 0000 110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</si>
  <si>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</si>
  <si>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>701 1 08 07150 01 0000 110</t>
  </si>
  <si>
    <t xml:space="preserve">Государственная пошлина за выдачу разрешения на установку рекламной конструкции
</t>
  </si>
  <si>
    <t>000 1 11 0000000 0000 000</t>
  </si>
  <si>
    <t xml:space="preserve">ДОХОДЫ ОТ ИСПОЛЬЗОВАНИЯ ИМУЩЕСТВА, НАХОДЯЩЕГОСЯ В ГОСУДАРСТВЕННОЙ И МУНИЦИПАЛЬНОЙ СОБСТВЕННОСТИ
</t>
  </si>
  <si>
    <t>701 1 11 01050 05 0000 120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</si>
  <si>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</si>
  <si>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>000 1 11 05000 00 0000 120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</si>
  <si>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</si>
  <si>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701 1 11 05013 05 0000 120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</si>
  <si>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</si>
  <si>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>701 1 11 05025 05 0000 120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</si>
  <si>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</si>
  <si>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>701 1 11 05035 05 0000 120</t>
  </si>
  <si>
    <t>701 1 11 05075 05 0000 120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</si>
  <si>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</si>
  <si>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>701 1 11 09045 05 0000 120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</si>
  <si>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</si>
  <si>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000 112 0000000 0000 000</t>
  </si>
  <si>
    <t>ПЛАТЕЖИ ПРИ ПОЛЬЗОВАНИИ ПРИРОДНЫМИ РЕСУРСАМИ</t>
  </si>
  <si>
    <t>048 1 12 01010 01 6000 120</t>
  </si>
  <si>
    <t xml:space="preserve">Плата за выбросы загрязняющих веществ в атмосферный воздух стационарными объектами 
</t>
  </si>
  <si>
    <t>048 1 12 01030 01 6000 120</t>
  </si>
  <si>
    <t xml:space="preserve">Плата за сбросы загрязняющих веществ в водные объекты
</t>
  </si>
  <si>
    <t>048 1 12 01041 01 6000 120</t>
  </si>
  <si>
    <t>048 1 12 01042 01 6000 120</t>
  </si>
  <si>
    <t>048 1 12 01070 01 6000 120</t>
  </si>
  <si>
    <t>000 113 00000 00 0000 000</t>
  </si>
  <si>
    <t>ПРОЧИЕ ДОХОДЫ ОТ ОКАЗАНИЯ ПЛАТНЫХ УСЛУГ (РАБОТ) ПОЛУЧАТЕЛЯМИ СРЕДСТВ БЮДЖЕТОВ МУНИЦИПАЛЬНЫХ РАЙОНОВ</t>
  </si>
  <si>
    <t>701 1 13 01000 00 0000 130</t>
  </si>
  <si>
    <t xml:space="preserve">Доходы от оказания платных услуг (работ)
</t>
  </si>
  <si>
    <t>701 1 13 01995 05 0014 130</t>
  </si>
  <si>
    <t>Прочие доходы от оказания платных услуг (работ) получателями средств бюджетов муниципальных районов (Структурное подразделение детский сад "Ёлочка" СОШ с.Толон)</t>
  </si>
  <si>
    <t>701 1 13 01995 05 0016 130</t>
  </si>
  <si>
    <t>Прочие доходы от оказания платных услуг (работ) получателями средств бюджетов муниципальных районов  (Дошкольная группа ООШ ООШ с.Дорожный)</t>
  </si>
  <si>
    <t>701 1 13 01995 05 0017 130</t>
  </si>
  <si>
    <t>Прочие доходы от оказания платных услуг (работ) получателями средств бюджетов муниципальных районов (МКДОУ "Золотой ключик")</t>
  </si>
  <si>
    <t>701 1 13 01995 05 0018 130</t>
  </si>
  <si>
    <t>Прочие доходы от оказания платных услуг (работ) получателями средств бюджетов муниципальных районов  (ДОБ "АЛМАЗ")</t>
  </si>
  <si>
    <t>701 1 13 01995 05 0021 130</t>
  </si>
  <si>
    <t>Прочие доходы от оказания платных услуг (работ) получателями средств бюджетов муниципальных районов  (Дошкольная группа МКОУ СОШ с.Турукта)</t>
  </si>
  <si>
    <t>701 1 13 01995 05 0022 130</t>
  </si>
  <si>
    <t>Прочие доходы от оказания платных услуг (работ) получателями средств бюджетов муниципальных районов  (ДС на базе филиала НШ с.Батамай МКОУ ООШ с.Мурья)</t>
  </si>
  <si>
    <t>701 1 13 01995 05 0034 130</t>
  </si>
  <si>
    <t>Прочие доходы от оказания платных услуг (работ) получателями средств бюджетов муниципальных районов( МКДОУ "Белочка")</t>
  </si>
  <si>
    <t>701 1 13 01995 05 0035 130</t>
  </si>
  <si>
    <t>Прочие доходы от оказания платных услуг (работ) получателями средств бюджетов муниципальных районов (Структурное подразделение "Детский сад "Туллукчаан" МКОУ СОШ с.Натора)</t>
  </si>
  <si>
    <t>701 1 13 01995 05 0036 130</t>
  </si>
  <si>
    <t>Прочие доходы от оказания платных услуг (работ) получателями средств бюджетов муниципальных районов  (структурное подразделение детский сад "Сардаана" МКОУ СОШ с.Чамча)</t>
  </si>
  <si>
    <t>701 1 13 01995 05 0037 130</t>
  </si>
  <si>
    <t>Прочие доходы от оказания платных услуг (работ) получателями средств бюджетов муниципальных районов (Структурное подразделение детский сад "Кэнчээри" МКОУ "Орто-Нахаринская СОШ")</t>
  </si>
  <si>
    <t>701 1 13 01995 05 0039 130</t>
  </si>
  <si>
    <t>Прочие доходы от оказания платных услуг (работ) получателями средств бюджетов муниципальных районов (МКО ДО «ДШИ г. Ленска»)</t>
  </si>
  <si>
    <t>701 1 13 01995 05 0040 130</t>
  </si>
  <si>
    <t>Прочие доходы от оказания платных услуг (работ) получателями средств бюджетов муниципальных районов ( МКДОУ "Звездочка")</t>
  </si>
  <si>
    <t>701 1 13 01995 05 0042 130</t>
  </si>
  <si>
    <t>Прочие доходы от оказания платных услуг (работ) получателями средств бюджетов муниципальных районов (МКДОУ ЦРР "Сказка")</t>
  </si>
  <si>
    <t>701 1 13 01995 05 0051 130</t>
  </si>
  <si>
    <t>Прочие доходы от оказания платных услуг (работ) получателями средств бюджетов муниципальных районов (МКДОУ "Искорка")</t>
  </si>
  <si>
    <t>701 1 13 01995 05 0012 130</t>
  </si>
  <si>
    <t>Прочие доходы от оказания платных услуг (работ) получателями средств бюджетов муниципальных районов (Структурное подразделение  детский сад МКДОУ "Сардаана" с.Беченча  СОШ Беченча)</t>
  </si>
  <si>
    <t>701 1 13 01995 05 0053 130</t>
  </si>
  <si>
    <t>Прочие доходы от оказания платных услуг (работ) получателями средств бюджетов муниципальных районов (МКДОУ детский сад "Теремок" г.Ленск "ЛР")</t>
  </si>
  <si>
    <t>701 1 13 01995 05 0055 130</t>
  </si>
  <si>
    <t>Прочие доходы от оказания платных услуг (работ) получателями средств бюджетов муниципальных районов ( МКДОУ детский сад "Чебурашка")</t>
  </si>
  <si>
    <t>701 1 13 01995 05 0056 130</t>
  </si>
  <si>
    <t>Прочие доходы от оказания платных услуг (работ) получателями средств бюджетов муниципальных районов (МКДОУ ЦРР-д/с "Колокольчик" п.Витим )</t>
  </si>
  <si>
    <t>701 1 13 01995 05 0057 130</t>
  </si>
  <si>
    <t>Прочие доходы от оказания платных услуг (работ) получателями средств бюджетов муниципальных районов (МКДОУ Детский сад "Светлячок" п.Пеледуй)</t>
  </si>
  <si>
    <t>701 1 13 01995 05 0058 130</t>
  </si>
  <si>
    <t>Прочие доходы от оказания платных услуг (работ) получателями средств бюджетов муниципальных районов СП "детский сад "Василёк" МКОУ  СОШ с.Нюя"</t>
  </si>
  <si>
    <t>701 1 13 01995 05 0059 130</t>
  </si>
  <si>
    <t>Прочие доходы от оказания платных услуг (работ) получателями средств бюджетов муниципальных районов (МКДОУ  Детский сад "Солнышко")</t>
  </si>
  <si>
    <t>701 1 13 01995 05 0060 130</t>
  </si>
  <si>
    <t>Прочие доходы от оказания платных услуг (работ) получателями средств бюджетов муниципальных районов (МКДОУ  "ЦРР-д/с "Сардаана")</t>
  </si>
  <si>
    <t>000 1 14 00000 00 0000 000</t>
  </si>
  <si>
    <t xml:space="preserve">ДОХОДЫ ОТ ПРОДАЖИ МАТЕРИАЛЬНЫХ И НЕМАТЕРИАЛЬНЫХ АКТИВОВ
</t>
  </si>
  <si>
    <t>701 1 14 02000 05 0000 410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</si>
  <si>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</si>
  <si>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>701 114 02053 05 0000 410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</si>
  <si>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</si>
  <si>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>000 1 14 06000 05 0000 430</t>
  </si>
  <si>
    <t xml:space="preserve">Доходы от продажи земельных участков, находящихся в государственной и муниципальной собственности
</t>
  </si>
  <si>
    <t>701 1 14 06013 05 0000 430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</si>
  <si>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</si>
  <si>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</si>
  <si>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>701 1 14 06025 05 0000 430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</si>
  <si>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</si>
  <si>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000 1 16 00000 00 0000 000</t>
  </si>
  <si>
    <t>ШТРАФЫ, САНКЦИИ, ВОЗМЕЩЕНИЕ УЩЕРБА</t>
  </si>
  <si>
    <t>701 1 16 11064 01 0000 140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</si>
  <si>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</si>
  <si>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итого собственных доходов:</t>
  </si>
  <si>
    <t>701 2 00 00000 00 0000 000</t>
  </si>
  <si>
    <t>БЕЗВОЗМЕЗДНЫЕ ПОСТУПЛЕНИЯ</t>
  </si>
  <si>
    <t>701 2 02 00000 00 0000 000</t>
  </si>
  <si>
    <t>Безвозмездные поступления от других бюджетов бюджетной системы Российской Федерации</t>
  </si>
  <si>
    <t>701 2 02 15000 00 0000 150</t>
  </si>
  <si>
    <t>Дотации бюджетам субъектов Российской Федерации и муниципальных образований, в т.ч.</t>
  </si>
  <si>
    <t>701 2 02 15002 05 0000 150</t>
  </si>
  <si>
    <t>Дотации бюджетам муниципальных районов на поддержку мер по обеспечению сбалансированности бюджетов</t>
  </si>
  <si>
    <t>701 2 02 20000 00 0000 150</t>
  </si>
  <si>
    <t>Субсидии бюджетам бюджетной системы Российской Федерации (межбюджетные субсидии)</t>
  </si>
  <si>
    <t>701 2 02 25304 05 0000 150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</si>
  <si>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</si>
  <si>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701 2 02 25497 05 0000 150</t>
  </si>
  <si>
    <t xml:space="preserve">Субсидии бюджетам муниципальных районов на реализацию мероприятий по обеспечению жильем молодых семей
</t>
  </si>
  <si>
    <t>701 2 02 25590 05 0000 150</t>
  </si>
  <si>
    <t>Субсидия на техническое оснащение региональных и муниципальных музеев</t>
  </si>
  <si>
    <t>701 2 02 25750 05 0000 150</t>
  </si>
  <si>
    <t>Субсидии бюджетам муниципальных районов на реализацию мероприятий по модернизации школьных систем образования</t>
  </si>
  <si>
    <t>701 2 02 29999 05 6201 150</t>
  </si>
  <si>
    <t>Софинансирование расходных обязательств на организацию отдыха детей в каникулярное время (за счет средств МБ)</t>
  </si>
  <si>
    <t>701 2 02 29999 05 6212 150</t>
  </si>
  <si>
    <t>701 2 02 29999 05 6269 150</t>
  </si>
  <si>
    <t>Субсидия на софинансирование реализации мероприятий муниципальных программ
(подпрограмм) развития кормопроизводства</t>
  </si>
  <si>
    <t>701 2 02 30000 00 0000 150</t>
  </si>
  <si>
    <t>Субвенции бюджетам субъектов Российской Федерации и муниципальных образований, в т.ч.</t>
  </si>
  <si>
    <t>701 2 02 30024 05 6302 150</t>
  </si>
  <si>
    <t>Субвенция на обеспечение государственных гарантий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обеспечения дополнительного образования детей в муниципальных общеобразовательных организациях</t>
  </si>
  <si>
    <t>701 2 02 30024 05 6303 150</t>
  </si>
  <si>
    <t>Субвенция на обеспечение деятельности отдельных организаций, осуществляющих образовательную деятельность по адаптированным основным общеобразовательным программам, для обучающихся, воспитанников с ограниченными возможностями здоровья, оздоровительных образовательных организаций санаторного типа для детей, нуждающихся в длительном лечении</t>
  </si>
  <si>
    <t>701 2 02 30024 05 6325 150</t>
  </si>
  <si>
    <t>Субвенции бюджетам муниципальных районов на выполнение передаваемых полномочий субъектов Российской Федерации, связанные с обеспечением осуществления отдельных государственных полномочий по поддержке сельскохозяйственного производства</t>
  </si>
  <si>
    <t>701 2 02 30024 05 6327 150</t>
  </si>
  <si>
    <t xml:space="preserve"> Субвенции бюджетам муниципальных районов на выполнение передаваемых полномочий по выравниванию бюджетной обеспеченности поселений</t>
  </si>
  <si>
    <t>701 2 02 30024 05 6335 150</t>
  </si>
  <si>
    <t>Субвенция на обеспечение государственных гарантий прав на получение общедоступного и бесплатного дошкольного образования в муниципальных дошкольных образовательных организациях</t>
  </si>
  <si>
    <t>701 2 02 30024 05 6337 150</t>
  </si>
  <si>
    <t>701 2 02 30024 05 6345 150</t>
  </si>
  <si>
    <t>Субвенция на выполнение ОМСУ МР и ГО отдельных государственных полномочий по поддержке скотоводства в личных подсобных хозяйствах граждан</t>
  </si>
  <si>
    <t>701 2 02 30024 05 6346 150</t>
  </si>
  <si>
    <t>Субвенция на выполнение ОМСУ МР и ГО отдельных государственных полномочий по поддержке развития животноводства, табунного коневодства и растениеводства</t>
  </si>
  <si>
    <t>701 2 02 30024 05 6347 150</t>
  </si>
  <si>
    <t>Субвенция на выполнение ОМСУ МР и ГО отдельных государственных полномочий по обеспечению производства и переработки продукции животноводства и развитию растениеводства</t>
  </si>
  <si>
    <t>701 2 02 30024 05 6348 150</t>
  </si>
  <si>
    <t>Субвенция на обеспечение выплат ежемесячного денежного вознаграждения за классное руководство педагогическим работникам государственных образовательных организаций и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образовательные программы</t>
  </si>
  <si>
    <t>701 2 02 30029 05 6305 150</t>
  </si>
  <si>
    <t>Субвенция на выплатау компенсации в части родительской платы за содержание ребенка в образовательных организациях, реализующих основную общеоборазовательную программу дошкольного образования</t>
  </si>
  <si>
    <t>701 2 02 35303 05 0000 150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</si>
  <si>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общего, основного общего и среднего общегообразования, в тос числе адаптивные основные общеобразовательные прораммы</t>
  </si>
  <si>
    <t>701 2 02 36900 05 6900 150</t>
  </si>
  <si>
    <t>Единая субвенция бюджетам муниципальных районов из бюджета субъекта Российской Федерации</t>
  </si>
  <si>
    <t>701 2 02 40000 00 0000 150</t>
  </si>
  <si>
    <t>Иные межбюджетные трансферты</t>
  </si>
  <si>
    <t>701 2 02 40014 05 0000 150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</si>
  <si>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</si>
  <si>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701 2 07 00000 00 0000 150</t>
  </si>
  <si>
    <t>Прочие безвозмездные поступления</t>
  </si>
  <si>
    <t>701 2 07 05030 05 0000 150</t>
  </si>
  <si>
    <t>Прочие безвозмездные поступления в бюджеты муниципальных районов</t>
  </si>
  <si>
    <t>701 2 18 05010 05 0000 150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</si>
  <si>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</si>
  <si>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701 2 18 60010 05 0000 150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</si>
  <si>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</si>
  <si>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701 2 19 60010 05 0000 150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</si>
  <si>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</si>
  <si>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182 1 03 00000 00 0000 000</t>
  </si>
  <si>
    <t xml:space="preserve">182 1 03 02231 01 0000 110
</t>
  </si>
  <si>
    <t xml:space="preserve">182 1 03 02241 01 0000 110
</t>
  </si>
  <si>
    <t xml:space="preserve">182 1 03 02251 01 0000 110
</t>
  </si>
  <si>
    <t xml:space="preserve">182 1 03 02261 01 0000 110
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</si>
  <si>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</si>
  <si>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Профессиональная подготовка, переподготовка и повышение квалификации</t>
  </si>
  <si>
    <t>9950091023</t>
  </si>
  <si>
    <t>Расходы на капитальное строительство и на обеспечение капитального строительства объектов собственности муниципальных образований , не включенные в муниципальные программы</t>
  </si>
  <si>
    <t>Региональные проекты, не входящие в национальные проекты</t>
  </si>
  <si>
    <t>Ведомственный проект "Создание условий для сохранения и укрепления здоровья человека "</t>
  </si>
  <si>
    <t>9950091026</t>
  </si>
  <si>
    <t>Резервирование средств на обеспечение отдельных мероприятий по решению вопросов местного значения</t>
  </si>
  <si>
    <t>6840000000</t>
  </si>
  <si>
    <t>9910011710</t>
  </si>
  <si>
    <t>Председатель представительного органа муниципального образования</t>
  </si>
  <si>
    <t>701 1 11 03050 05 0000 120</t>
  </si>
  <si>
    <t>5630010020</t>
  </si>
  <si>
    <t>Создание условий для оказания медицинской помощи населению на территории муниципального образования</t>
  </si>
  <si>
    <t>7340022001</t>
  </si>
  <si>
    <t>5840022003</t>
  </si>
  <si>
    <t>Расходы на обеспечение деятельности (оказание услуг) муниципальных учреждений дополнительного образования</t>
  </si>
  <si>
    <t>6730010010</t>
  </si>
  <si>
    <t>Развитие растиеневодства</t>
  </si>
  <si>
    <t>Поддержка табунного коневодства</t>
  </si>
  <si>
    <t>Поддержка скотоводства</t>
  </si>
  <si>
    <t>Развитие скороспелых отраслей животноводства и пчеловодства</t>
  </si>
  <si>
    <t>67300S2690</t>
  </si>
  <si>
    <t>Софинансирование реализации мероприятий муниципальных программ (подпрограмм) развития кормопроизводства</t>
  </si>
  <si>
    <t>Организация пассажирских перевозок внутри муниципального образования водным транспортом</t>
  </si>
  <si>
    <t>6030010060</t>
  </si>
  <si>
    <t>Обеспечение транспортной доступности на социально значимых внутриулусных авиалиниях</t>
  </si>
  <si>
    <t>603001000С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</si>
  <si>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</si>
  <si>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 xml:space="preserve">60400S2120 </t>
  </si>
  <si>
    <t>Содержание, текущий и капитальный ремонт автомобильных дорог общего пользования местного значения</t>
  </si>
  <si>
    <t xml:space="preserve">6030010030 </t>
  </si>
  <si>
    <t>6840022001</t>
  </si>
  <si>
    <t>Субсидии на оказание поддержки субъектов малого предпринимательства</t>
  </si>
  <si>
    <t>6830010001</t>
  </si>
  <si>
    <t>683001000Г</t>
  </si>
  <si>
    <t>Предоставление грантов начинающим субъектам малого предпринимательства</t>
  </si>
  <si>
    <t>Поддержка бизнес-инкубаторов</t>
  </si>
  <si>
    <t>6830010010</t>
  </si>
  <si>
    <t>6830010020</t>
  </si>
  <si>
    <t>6830010040</t>
  </si>
  <si>
    <t>Субсидирование части расходов субъектов малого и среднего предпринимательства, занятых производством местной продукции</t>
  </si>
  <si>
    <t>Мероприятия, направленные на развитие малого и среднего предпринимательства (конференции, семинары, круглые столы, совещания и др.)</t>
  </si>
  <si>
    <t>Организация мероприятий по охране окружающей среды</t>
  </si>
  <si>
    <t>Обеспечение функционирования особо охраняемых природных территорий в муниципальных образованиях</t>
  </si>
  <si>
    <t>Изготовление и выпуск рекламно-информационных материалов: буклеты, плакаты, баннеры</t>
  </si>
  <si>
    <t>Организация и проведение акций и конкурсов</t>
  </si>
  <si>
    <t>7330010021</t>
  </si>
  <si>
    <t>7330010022</t>
  </si>
  <si>
    <t>7330010024</t>
  </si>
  <si>
    <t>Оценка земельных участков</t>
  </si>
  <si>
    <t>Организация учета использования земель</t>
  </si>
  <si>
    <t>Проведение комплексных кадастровых работ на территориях населенных пунктов</t>
  </si>
  <si>
    <t>Формирование муниципальной собственности на объекты капитального строительства</t>
  </si>
  <si>
    <t xml:space="preserve">Учет и мониторинг муниципальной собственности </t>
  </si>
  <si>
    <t>Оценка имущества для принятия управленческих решений</t>
  </si>
  <si>
    <t>Страхование объектов муниципальной собственности</t>
  </si>
  <si>
    <t>7330010001</t>
  </si>
  <si>
    <t>7330010002</t>
  </si>
  <si>
    <t>7330010003</t>
  </si>
  <si>
    <t>7330010004</t>
  </si>
  <si>
    <t>7330010006</t>
  </si>
  <si>
    <t>Содержание муниципального жилищного фонда</t>
  </si>
  <si>
    <t>Содержание, текущий и капитальный ремонт нежилых помещений</t>
  </si>
  <si>
    <t>7330010007</t>
  </si>
  <si>
    <t>Модернизация муниципальных детских школ искусств по видам искусств</t>
  </si>
  <si>
    <t>Расходы на обеспечение деятельности (оказание услуг) муниципальных учреждений (образовательные учреждения в сфере культуры и искусства)</t>
  </si>
  <si>
    <t>5040022004</t>
  </si>
  <si>
    <t>Расходы на обеспечение деятельности (оказание услуг) муниципальных учреждений (библиотеки)</t>
  </si>
  <si>
    <t>Расходы на обеспечение деятельности (оказание услуг) муниципальных учреждений (музеи)</t>
  </si>
  <si>
    <t>5040022002</t>
  </si>
  <si>
    <t>5040022001</t>
  </si>
  <si>
    <t>Расходы на обеспечение деятельности (оказание услуг) муниципальных управлений культур</t>
  </si>
  <si>
    <t>5040022005</t>
  </si>
  <si>
    <t>Техническое оснащение муниципальных музее</t>
  </si>
  <si>
    <t>5030010060</t>
  </si>
  <si>
    <t>Культурно-массовые и информационно-просветительские мероприятия</t>
  </si>
  <si>
    <t>5030010000</t>
  </si>
  <si>
    <t>Развитие и гармонизация межнациональных и межконфессиональных отношений</t>
  </si>
  <si>
    <t>5030010090</t>
  </si>
  <si>
    <t>Ведомственный проект "Создание условий для сохранения и развития культуры в поселениях, посредством внедрения новых технологий и строительства современных зданий"</t>
  </si>
  <si>
    <t>Строительство объекта "Дом культуры в селе Беченча"</t>
  </si>
  <si>
    <t>50300П4012</t>
  </si>
  <si>
    <t>50300П4013</t>
  </si>
  <si>
    <t>Строительство объекта "Культурно-спортивный комплекс в селе Южная Нюя"</t>
  </si>
  <si>
    <t>Организация и проведение физкультурно-оздоровительных и спортивно-массовых мероприятий</t>
  </si>
  <si>
    <t>Подготовка и участие в республиканских, российских и международных соревнованиях</t>
  </si>
  <si>
    <t>Развитие адаптивной физической культуры спорта</t>
  </si>
  <si>
    <t>Формирование здорового образа жизни</t>
  </si>
  <si>
    <t>Мероприятия патриотической направленности</t>
  </si>
  <si>
    <t>5230010003</t>
  </si>
  <si>
    <t xml:space="preserve">Организация мероприятий в области молодежной политики </t>
  </si>
  <si>
    <t>Создание телевизионных и радиовещательных передач, рубрик в средствах массовой информации и печатной, кино- и видеопродукции по направлениям  молодежной политики</t>
  </si>
  <si>
    <t>Организация профориентационной работы среди молодежи и дальнейшее трудоустройство</t>
  </si>
  <si>
    <t>Поддержка проектов молодых талантов</t>
  </si>
  <si>
    <t>Реализации социально-психологических мероприятий по предупреждению асоциальных явлений в молодежной среде</t>
  </si>
  <si>
    <t xml:space="preserve">Организация мероприятий в области развития гражданского общества </t>
  </si>
  <si>
    <t>Субсидии из местного бюджета на поддержку социально ориентированным некоммерческим организациям</t>
  </si>
  <si>
    <t xml:space="preserve">Популяризация семейных ценностей и реализация мероприятий в области семейной и демографической политики по улучшению положения семей, детей и женщин, повышению ответственного родительства </t>
  </si>
  <si>
    <t>Расходы на обеспечение деятельности (оказание услуг) муниципальных дошкольных учреждений</t>
  </si>
  <si>
    <t xml:space="preserve">Региональный проект «Патриотическое воспитание граждан», входящий в национальный проект «Образование»
</t>
  </si>
  <si>
    <t>581ЕВ51790</t>
  </si>
  <si>
    <t>Обеспечение деятельности советников директора по воспитанию и взаимодействию с детскими общественными объединениями в образовательных организациях</t>
  </si>
  <si>
    <t>58201L7500</t>
  </si>
  <si>
    <t>Реализация мероприятий по модернизации школьных систем образования</t>
  </si>
  <si>
    <t>Расходы на обеспечение деятельности (оказание услуг) муниципальных общеобразовательных учреждений</t>
  </si>
  <si>
    <t>58403L3040</t>
  </si>
  <si>
    <t>Обеспечение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</si>
  <si>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Расходы на обеспечение деятельности (оказание услуг) муниципальных управлений образования</t>
  </si>
  <si>
    <t>58400S2010</t>
  </si>
  <si>
    <t>Поддержка на конкурсной основе территориальных общественных самоуправлений (за счет средств МБ)</t>
  </si>
  <si>
    <t>52300S5120</t>
  </si>
  <si>
    <t>6730010050</t>
  </si>
  <si>
    <t>Развитие системы поддержки талантливых детей</t>
  </si>
  <si>
    <t>5830010060</t>
  </si>
  <si>
    <t>Развитие педагогического потенциала</t>
  </si>
  <si>
    <t>5830010130</t>
  </si>
  <si>
    <t>Поощрение лучших педагогических работников</t>
  </si>
  <si>
    <t>5830010042</t>
  </si>
  <si>
    <t>Организация и обеспечение отдыха детей и их оздоровления - Детская оздоровительная база "Алмаз"</t>
  </si>
  <si>
    <t>Подготовка документов территориального планирования муниципальных образований</t>
  </si>
  <si>
    <t>Разработка проектов развития общественной инфраструктуры в целях развития и освоения территорий</t>
  </si>
  <si>
    <t>6130010011</t>
  </si>
  <si>
    <t>Обеспечение жильем работников муниципальной бюджетной сферы</t>
  </si>
  <si>
    <t>Приобретение квартир специализированного жилого фонда для отдельных категорий граждан</t>
  </si>
  <si>
    <t>6130010051</t>
  </si>
  <si>
    <t>Софинансирование подключения к газовым сетям низкого давления индивидуальных жилых домов работников муниципальной бюджетной сферы и иных бюджетных учреждений</t>
  </si>
  <si>
    <t>6140010030</t>
  </si>
  <si>
    <t>Предоставление социальных выплат работникам бюджетной сферы на повышение качества жилищно-бытовых услуг</t>
  </si>
  <si>
    <t>61300L4970</t>
  </si>
  <si>
    <t>Иные социальные выплаты отдельным категориям граждан по муниципальным правовым актам муниципальных образований</t>
  </si>
  <si>
    <t>Организация жизнеустройства детей сирот, детей, оставшихся без попечения родителей, недееспособных граждан</t>
  </si>
  <si>
    <t>Совершенствование системы управления охраной труда. Информационное обеспечение и пропаганда охраны труда. Создание мотивации к безопасному труду, формирование культуры охраны труда</t>
  </si>
  <si>
    <t>Организация и проведение профилактических мероприятий</t>
  </si>
  <si>
    <t>Информационное обеспечение профилактических мероприятий</t>
  </si>
  <si>
    <t>Организация профилактических мероприятий по пропаганде безопасности дорожного движения</t>
  </si>
  <si>
    <t>5840022000</t>
  </si>
  <si>
    <t xml:space="preserve">Создание условий для оказания медицинской помощи населению и охраны здоровья граждан Ленского района </t>
  </si>
  <si>
    <t>Приложение № 1</t>
  </si>
  <si>
    <t>Субвенция на выполнение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</si>
  <si>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701 2 02 35120 05 0000 150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</si>
  <si>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</si>
  <si>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</si>
  <si>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701 2 02 45179 05 0000 150</t>
  </si>
  <si>
    <t>9950011050</t>
  </si>
  <si>
    <t>Материальная помощь участникам, членам семьи участников СВО</t>
  </si>
  <si>
    <t>Расходы на исполнение судебных решений о взыскании из бюджета по искам юридических и физических лиц</t>
  </si>
  <si>
    <t xml:space="preserve">Субсидия на софинансирование расходных обязательств местных бюджетов связанных с капитальным ремонтом автомобильных дорог общего пользования местного значения муниципальных дорог </t>
  </si>
  <si>
    <t xml:space="preserve">      Возврат прочих остатков субвенции на выполнение отдельных государственных полномочий по предоставлению жилых помещений детям-сиротам и детям, оставшимся без попечения родителей, лизам из их числа по договорам найма специализированных жилых помещений</t>
  </si>
  <si>
    <t>701 2 19 60010 05 6337 150</t>
  </si>
  <si>
    <t>5430010001</t>
  </si>
  <si>
    <t>Приложение № 2</t>
  </si>
  <si>
    <t xml:space="preserve"> Прочие доходы от компенсации затрат бюджетов муниципальных районов</t>
  </si>
  <si>
    <t>701 1 13 02995 05 0000 130</t>
  </si>
  <si>
    <t>5840011600</t>
  </si>
  <si>
    <t>5730010073</t>
  </si>
  <si>
    <t>5040000005</t>
  </si>
  <si>
    <t>Приложение № 3</t>
  </si>
  <si>
    <t xml:space="preserve"> от "09" августа 2024 г.</t>
  </si>
  <si>
    <t xml:space="preserve"> № 01-05/1-12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</si>
</sst>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5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2"/>
      <name val="Arial Cyr"/>
      <charset val="204"/>
    </font>
    <font>
      <b/>
      <sz val="11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 Cyr"/>
      <family val="2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i/>
      <sz val="12"/>
      <name val="Arial"/>
      <family val="2"/>
      <charset val="204"/>
    </font>
    <font>
      <i/>
      <sz val="1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Arial Cyr"/>
      <family val="2"/>
    </font>
    <font>
      <b/>
      <sz val="10"/>
      <name val="Arial Cyr"/>
      <family val="2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Arial Cyr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rgb="FF000000"/>
      <name val="Arial Cyr"/>
    </font>
    <font>
      <sz val="12"/>
      <color rgb="FF000000"/>
      <name val="Arial"/>
      <family val="2"/>
      <charset val="204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1"/>
      <color indexed="8"/>
      <name val="Calibri"/>
      <family val="2"/>
      <charset val="204"/>
    </font>
    <font>
      <sz val="12"/>
      <color rgb="FF000000"/>
      <name val="Arial Cyr"/>
      <family val="2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FF0000"/>
      <name val="Arial Cyr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i/>
      <sz val="11"/>
      <color rgb="FFFF0000"/>
      <name val="Calibri"/>
      <family val="2"/>
      <charset val="204"/>
    </font>
    <font>
      <i/>
      <sz val="10"/>
      <color rgb="FFFF0000"/>
      <name val="Calibri"/>
      <family val="2"/>
      <charset val="204"/>
    </font>
    <font>
      <b/>
      <i/>
      <sz val="10"/>
      <color rgb="FFFF0000"/>
      <name val="Calibri"/>
      <family val="2"/>
      <charset val="204"/>
    </font>
    <font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27">
    <xf numFmtId="0" fontId="0" fillId="0" borderId="0"/>
    <xf numFmtId="0" fontId="16" fillId="0" borderId="0"/>
    <xf numFmtId="49" fontId="17" fillId="0" borderId="2">
      <alignment horizontal="center" vertical="top" shrinkToFit="1"/>
    </xf>
    <xf numFmtId="43" fontId="23" fillId="0" borderId="0" applyFont="0" applyFill="0" applyBorder="0" applyAlignment="0" applyProtection="0"/>
    <xf numFmtId="0" fontId="24" fillId="2" borderId="0" applyNumberFormat="0" applyBorder="0" applyAlignment="0" applyProtection="0"/>
    <xf numFmtId="49" fontId="26" fillId="0" borderId="2">
      <alignment horizontal="left" vertical="top" shrinkToFit="1"/>
    </xf>
    <xf numFmtId="0" fontId="17" fillId="0" borderId="2">
      <alignment horizontal="center" vertical="center" wrapText="1"/>
    </xf>
    <xf numFmtId="0" fontId="16" fillId="0" borderId="0"/>
    <xf numFmtId="0" fontId="16" fillId="0" borderId="0"/>
    <xf numFmtId="0" fontId="16" fillId="0" borderId="0"/>
    <xf numFmtId="4" fontId="17" fillId="0" borderId="2">
      <alignment horizontal="right" vertical="top" shrinkToFit="1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38" fillId="0" borderId="0" applyFont="0" applyFill="0" applyBorder="0" applyAlignment="0" applyProtection="0"/>
    <xf numFmtId="0" fontId="16" fillId="0" borderId="0"/>
    <xf numFmtId="4" fontId="26" fillId="3" borderId="2">
      <alignment horizontal="right" vertical="top" shrinkToFit="1"/>
    </xf>
    <xf numFmtId="1" fontId="41" fillId="0" borderId="2">
      <alignment horizontal="center" vertical="top" shrinkToFit="1"/>
    </xf>
    <xf numFmtId="0" fontId="17" fillId="0" borderId="2">
      <alignment horizontal="left" vertical="top" wrapText="1"/>
    </xf>
    <xf numFmtId="49" fontId="17" fillId="0" borderId="2">
      <alignment horizontal="center" vertical="top" shrinkToFit="1"/>
    </xf>
    <xf numFmtId="0" fontId="17" fillId="0" borderId="2">
      <alignment horizontal="left" vertical="top" wrapText="1"/>
    </xf>
    <xf numFmtId="0" fontId="1" fillId="4" borderId="0"/>
    <xf numFmtId="1" fontId="17" fillId="0" borderId="2">
      <alignment horizontal="center" vertical="top" shrinkToFit="1"/>
    </xf>
    <xf numFmtId="0" fontId="48" fillId="0" borderId="2">
      <alignment horizontal="left" vertical="top" wrapText="1"/>
    </xf>
  </cellStyleXfs>
  <cellXfs count="354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4" fontId="1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3" fontId="4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5" fillId="0" borderId="1" xfId="0" applyFont="1" applyFill="1" applyBorder="1" applyAlignment="1">
      <alignment vertical="top" wrapText="1" shrinkToFit="1"/>
    </xf>
    <xf numFmtId="49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49" fontId="5" fillId="0" borderId="1" xfId="0" applyNumberFormat="1" applyFont="1" applyFill="1" applyBorder="1" applyAlignment="1">
      <alignment wrapText="1" shrinkToFit="1"/>
    </xf>
    <xf numFmtId="49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0" fontId="9" fillId="0" borderId="0" xfId="0" applyFont="1" applyFill="1"/>
    <xf numFmtId="49" fontId="6" fillId="0" borderId="1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 applyAlignment="1">
      <alignment horizontal="right" shrinkToFit="1"/>
    </xf>
    <xf numFmtId="0" fontId="5" fillId="0" borderId="1" xfId="0" applyNumberFormat="1" applyFont="1" applyFill="1" applyBorder="1" applyAlignment="1">
      <alignment wrapText="1" shrinkToFit="1"/>
    </xf>
    <xf numFmtId="0" fontId="11" fillId="0" borderId="0" xfId="0" applyFont="1" applyFill="1"/>
    <xf numFmtId="4" fontId="6" fillId="0" borderId="1" xfId="0" applyNumberFormat="1" applyFont="1" applyFill="1" applyBorder="1"/>
    <xf numFmtId="0" fontId="13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 shrinkToFit="1"/>
    </xf>
    <xf numFmtId="0" fontId="14" fillId="0" borderId="0" xfId="0" applyFont="1" applyFill="1"/>
    <xf numFmtId="0" fontId="5" fillId="0" borderId="1" xfId="0" applyFont="1" applyFill="1" applyBorder="1" applyAlignment="1">
      <alignment wrapText="1" shrinkToFit="1"/>
    </xf>
    <xf numFmtId="49" fontId="5" fillId="0" borderId="1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left" vertical="top" wrapText="1" shrinkToFit="1"/>
    </xf>
    <xf numFmtId="0" fontId="15" fillId="0" borderId="0" xfId="0" applyFont="1" applyFill="1"/>
    <xf numFmtId="49" fontId="5" fillId="0" borderId="1" xfId="2" applyNumberFormat="1" applyFont="1" applyFill="1" applyBorder="1" applyAlignment="1" applyProtection="1">
      <alignment horizontal="center" shrinkToFit="1"/>
      <protection locked="0"/>
    </xf>
    <xf numFmtId="49" fontId="6" fillId="0" borderId="1" xfId="2" applyNumberFormat="1" applyFont="1" applyFill="1" applyBorder="1" applyAlignment="1" applyProtection="1">
      <alignment horizontal="center" shrinkToFit="1"/>
      <protection locked="0"/>
    </xf>
    <xf numFmtId="4" fontId="6" fillId="0" borderId="0" xfId="0" applyNumberFormat="1" applyFont="1" applyFill="1"/>
    <xf numFmtId="4" fontId="5" fillId="0" borderId="1" xfId="0" applyNumberFormat="1" applyFont="1" applyFill="1" applyBorder="1"/>
    <xf numFmtId="0" fontId="19" fillId="0" borderId="0" xfId="0" applyFont="1" applyFill="1" applyAlignment="1"/>
    <xf numFmtId="0" fontId="18" fillId="0" borderId="0" xfId="0" applyFont="1" applyFill="1"/>
    <xf numFmtId="0" fontId="19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 shrinkToFit="1"/>
    </xf>
    <xf numFmtId="49" fontId="5" fillId="0" borderId="1" xfId="0" applyNumberFormat="1" applyFont="1" applyFill="1" applyBorder="1" applyAlignment="1">
      <alignment horizontal="center" vertical="top" shrinkToFit="1"/>
    </xf>
    <xf numFmtId="49" fontId="5" fillId="0" borderId="4" xfId="0" applyNumberFormat="1" applyFont="1" applyFill="1" applyBorder="1" applyAlignment="1">
      <alignment horizontal="center" vertical="top" shrinkToFit="1"/>
    </xf>
    <xf numFmtId="4" fontId="5" fillId="0" borderId="1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1" xfId="0" applyNumberFormat="1" applyFont="1" applyFill="1" applyBorder="1" applyAlignment="1">
      <alignment horizontal="left" vertical="top" wrapText="1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49" fontId="6" fillId="0" borderId="4" xfId="0" applyNumberFormat="1" applyFont="1" applyFill="1" applyBorder="1" applyAlignment="1">
      <alignment horizontal="center" vertical="top" shrinkToFit="1"/>
    </xf>
    <xf numFmtId="4" fontId="6" fillId="0" borderId="1" xfId="0" applyNumberFormat="1" applyFont="1" applyFill="1" applyBorder="1" applyAlignment="1" applyProtection="1">
      <alignment horizontal="right" vertical="top" shrinkToFit="1"/>
      <protection locked="0"/>
    </xf>
    <xf numFmtId="4" fontId="7" fillId="0" borderId="0" xfId="0" applyNumberFormat="1" applyFont="1" applyFill="1"/>
    <xf numFmtId="0" fontId="21" fillId="0" borderId="0" xfId="0" applyFont="1" applyFill="1"/>
    <xf numFmtId="49" fontId="6" fillId="0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right"/>
    </xf>
    <xf numFmtId="0" fontId="14" fillId="0" borderId="0" xfId="0" applyFont="1" applyFill="1" applyAlignment="1">
      <alignment wrapText="1"/>
    </xf>
    <xf numFmtId="0" fontId="5" fillId="0" borderId="6" xfId="0" applyFont="1" applyFill="1" applyBorder="1" applyAlignment="1">
      <alignment wrapText="1" shrinkToFit="1"/>
    </xf>
    <xf numFmtId="49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wrapText="1"/>
    </xf>
    <xf numFmtId="4" fontId="5" fillId="0" borderId="6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center" vertical="top" shrinkToFit="1"/>
    </xf>
    <xf numFmtId="49" fontId="5" fillId="0" borderId="7" xfId="0" applyNumberFormat="1" applyFont="1" applyFill="1" applyBorder="1" applyAlignment="1">
      <alignment horizontal="center" vertical="top" shrinkToFit="1"/>
    </xf>
    <xf numFmtId="4" fontId="5" fillId="0" borderId="6" xfId="0" applyNumberFormat="1" applyFont="1" applyFill="1" applyBorder="1" applyAlignment="1" applyProtection="1">
      <alignment horizontal="right" vertical="top" shrinkToFit="1"/>
      <protection locked="0"/>
    </xf>
    <xf numFmtId="4" fontId="6" fillId="0" borderId="6" xfId="0" applyNumberFormat="1" applyFont="1" applyFill="1" applyBorder="1" applyAlignment="1">
      <alignment horizontal="right"/>
    </xf>
    <xf numFmtId="4" fontId="2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4" fontId="2" fillId="0" borderId="0" xfId="0" applyNumberFormat="1" applyFont="1" applyFill="1" applyBorder="1" applyAlignment="1">
      <alignment wrapText="1"/>
    </xf>
    <xf numFmtId="4" fontId="2" fillId="0" borderId="0" xfId="0" applyNumberFormat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 shrinkToFit="1"/>
    </xf>
    <xf numFmtId="4" fontId="5" fillId="0" borderId="1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/>
    <xf numFmtId="4" fontId="5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Border="1"/>
    <xf numFmtId="4" fontId="4" fillId="0" borderId="0" xfId="0" applyNumberFormat="1" applyFont="1" applyFill="1"/>
    <xf numFmtId="0" fontId="4" fillId="0" borderId="0" xfId="0" applyFont="1" applyFill="1" applyBorder="1"/>
    <xf numFmtId="0" fontId="4" fillId="0" borderId="0" xfId="0" applyFont="1" applyFill="1"/>
    <xf numFmtId="4" fontId="6" fillId="0" borderId="0" xfId="0" applyNumberFormat="1" applyFont="1" applyFill="1" applyBorder="1" applyAlignment="1">
      <alignment wrapText="1"/>
    </xf>
    <xf numFmtId="4" fontId="6" fillId="0" borderId="0" xfId="0" applyNumberFormat="1" applyFont="1" applyFill="1" applyBorder="1"/>
    <xf numFmtId="4" fontId="11" fillId="0" borderId="0" xfId="5" applyNumberFormat="1" applyFont="1" applyFill="1" applyBorder="1" applyAlignment="1" applyProtection="1">
      <alignment horizontal="right" shrinkToFit="1"/>
    </xf>
    <xf numFmtId="4" fontId="27" fillId="0" borderId="0" xfId="5" applyNumberFormat="1" applyFont="1" applyFill="1" applyBorder="1" applyAlignment="1" applyProtection="1">
      <alignment horizontal="right" shrinkToFit="1"/>
    </xf>
    <xf numFmtId="49" fontId="5" fillId="0" borderId="4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shrinkToFit="1"/>
    </xf>
    <xf numFmtId="49" fontId="6" fillId="0" borderId="4" xfId="0" applyNumberFormat="1" applyFont="1" applyFill="1" applyBorder="1" applyAlignment="1">
      <alignment horizontal="center"/>
    </xf>
    <xf numFmtId="0" fontId="11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/>
    <xf numFmtId="4" fontId="8" fillId="0" borderId="0" xfId="0" applyNumberFormat="1" applyFont="1" applyFill="1"/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4" fontId="29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6" fillId="0" borderId="1" xfId="0" quotePrefix="1" applyNumberFormat="1" applyFont="1" applyFill="1" applyBorder="1" applyAlignment="1">
      <alignment wrapText="1" shrinkToFit="1"/>
    </xf>
    <xf numFmtId="4" fontId="10" fillId="0" borderId="1" xfId="0" applyNumberFormat="1" applyFont="1" applyFill="1" applyBorder="1" applyAlignment="1" applyProtection="1">
      <alignment horizontal="right" vertical="top" shrinkToFit="1"/>
      <protection locked="0"/>
    </xf>
    <xf numFmtId="0" fontId="31" fillId="0" borderId="0" xfId="0" applyFont="1"/>
    <xf numFmtId="0" fontId="32" fillId="0" borderId="0" xfId="0" applyFont="1"/>
    <xf numFmtId="3" fontId="32" fillId="0" borderId="0" xfId="0" applyNumberFormat="1" applyFont="1"/>
    <xf numFmtId="3" fontId="0" fillId="0" borderId="0" xfId="0" applyNumberFormat="1"/>
    <xf numFmtId="4" fontId="0" fillId="0" borderId="0" xfId="0" applyNumberFormat="1"/>
    <xf numFmtId="3" fontId="31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center" vertical="top" wrapText="1"/>
    </xf>
    <xf numFmtId="3" fontId="34" fillId="0" borderId="1" xfId="0" applyNumberFormat="1" applyFont="1" applyBorder="1" applyAlignment="1">
      <alignment horizontal="center" vertical="top" wrapText="1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4" fontId="10" fillId="0" borderId="1" xfId="0" applyNumberFormat="1" applyFont="1" applyFill="1" applyBorder="1" applyAlignment="1" applyProtection="1">
      <alignment horizontal="right" shrinkToFit="1"/>
      <protection locked="0"/>
    </xf>
    <xf numFmtId="49" fontId="34" fillId="0" borderId="1" xfId="0" applyNumberFormat="1" applyFont="1" applyBorder="1" applyAlignment="1">
      <alignment horizontal="center" wrapText="1"/>
    </xf>
    <xf numFmtId="0" fontId="34" fillId="0" borderId="1" xfId="0" applyFont="1" applyBorder="1" applyAlignment="1">
      <alignment wrapText="1"/>
    </xf>
    <xf numFmtId="4" fontId="34" fillId="0" borderId="1" xfId="0" applyNumberFormat="1" applyFont="1" applyBorder="1" applyAlignment="1">
      <alignment horizontal="right" wrapText="1"/>
    </xf>
    <xf numFmtId="4" fontId="35" fillId="0" borderId="1" xfId="0" applyNumberFormat="1" applyFont="1" applyBorder="1"/>
    <xf numFmtId="49" fontId="33" fillId="0" borderId="1" xfId="0" applyNumberFormat="1" applyFont="1" applyBorder="1" applyAlignment="1">
      <alignment horizontal="center" wrapText="1"/>
    </xf>
    <xf numFmtId="4" fontId="33" fillId="0" borderId="1" xfId="0" applyNumberFormat="1" applyFont="1" applyBorder="1" applyAlignment="1">
      <alignment horizontal="right" wrapText="1"/>
    </xf>
    <xf numFmtId="4" fontId="33" fillId="0" borderId="1" xfId="0" applyNumberFormat="1" applyFont="1" applyBorder="1" applyAlignment="1">
      <alignment horizontal="right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" fontId="0" fillId="0" borderId="0" xfId="0" applyNumberFormat="1" applyFont="1"/>
    <xf numFmtId="0" fontId="34" fillId="0" borderId="4" xfId="0" applyFont="1" applyBorder="1" applyAlignment="1">
      <alignment wrapText="1"/>
    </xf>
    <xf numFmtId="0" fontId="34" fillId="0" borderId="0" xfId="0" applyFont="1"/>
    <xf numFmtId="0" fontId="33" fillId="0" borderId="1" xfId="0" applyFont="1" applyBorder="1"/>
    <xf numFmtId="4" fontId="36" fillId="0" borderId="1" xfId="0" applyNumberFormat="1" applyFont="1" applyBorder="1"/>
    <xf numFmtId="0" fontId="36" fillId="0" borderId="0" xfId="0" applyFont="1"/>
    <xf numFmtId="4" fontId="36" fillId="0" borderId="0" xfId="0" applyNumberFormat="1" applyFont="1"/>
    <xf numFmtId="3" fontId="35" fillId="0" borderId="0" xfId="0" applyNumberFormat="1" applyFont="1"/>
    <xf numFmtId="4" fontId="34" fillId="0" borderId="1" xfId="0" applyNumberFormat="1" applyFont="1" applyBorder="1" applyAlignment="1">
      <alignment vertical="top" wrapText="1"/>
    </xf>
    <xf numFmtId="0" fontId="37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 wrapText="1" shrinkToFit="1"/>
    </xf>
    <xf numFmtId="0" fontId="33" fillId="0" borderId="1" xfId="0" applyFont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9" fontId="34" fillId="0" borderId="1" xfId="0" applyNumberFormat="1" applyFont="1" applyBorder="1" applyAlignment="1">
      <alignment horizontal="center"/>
    </xf>
    <xf numFmtId="4" fontId="37" fillId="0" borderId="1" xfId="0" applyNumberFormat="1" applyFont="1" applyBorder="1" applyAlignment="1">
      <alignment wrapText="1"/>
    </xf>
    <xf numFmtId="4" fontId="35" fillId="0" borderId="1" xfId="0" applyNumberFormat="1" applyFont="1" applyFill="1" applyBorder="1" applyAlignment="1">
      <alignment vertical="center" wrapText="1"/>
    </xf>
    <xf numFmtId="3" fontId="28" fillId="0" borderId="0" xfId="0" applyNumberFormat="1" applyFont="1"/>
    <xf numFmtId="0" fontId="6" fillId="0" borderId="1" xfId="0" applyFont="1" applyFill="1" applyBorder="1"/>
    <xf numFmtId="0" fontId="5" fillId="0" borderId="1" xfId="0" applyFont="1" applyFill="1" applyBorder="1"/>
    <xf numFmtId="4" fontId="6" fillId="0" borderId="1" xfId="0" applyNumberFormat="1" applyFont="1" applyFill="1" applyBorder="1" applyAlignment="1"/>
    <xf numFmtId="0" fontId="6" fillId="0" borderId="1" xfId="0" applyFont="1" applyFill="1" applyBorder="1" applyAlignment="1">
      <alignment wrapText="1"/>
    </xf>
    <xf numFmtId="0" fontId="31" fillId="0" borderId="0" xfId="0" applyFont="1" applyFill="1"/>
    <xf numFmtId="3" fontId="31" fillId="0" borderId="0" xfId="0" applyNumberFormat="1" applyFont="1" applyFill="1"/>
    <xf numFmtId="0" fontId="0" fillId="0" borderId="0" xfId="0" applyFill="1"/>
    <xf numFmtId="4" fontId="35" fillId="0" borderId="0" xfId="0" applyNumberFormat="1" applyFont="1" applyFill="1" applyAlignment="1">
      <alignment vertical="top"/>
    </xf>
    <xf numFmtId="4" fontId="0" fillId="0" borderId="0" xfId="0" applyNumberFormat="1" applyFill="1"/>
    <xf numFmtId="3" fontId="31" fillId="0" borderId="0" xfId="0" applyNumberFormat="1" applyFont="1" applyFill="1" applyAlignment="1">
      <alignment horizontal="right"/>
    </xf>
    <xf numFmtId="0" fontId="34" fillId="0" borderId="1" xfId="0" applyFont="1" applyFill="1" applyBorder="1" applyAlignment="1">
      <alignment horizontal="center" vertical="top" wrapText="1"/>
    </xf>
    <xf numFmtId="3" fontId="34" fillId="0" borderId="1" xfId="0" applyNumberFormat="1" applyFont="1" applyFill="1" applyBorder="1" applyAlignment="1">
      <alignment horizontal="center" vertical="top" wrapText="1"/>
    </xf>
    <xf numFmtId="0" fontId="39" fillId="0" borderId="0" xfId="0" applyFont="1" applyFill="1"/>
    <xf numFmtId="4" fontId="39" fillId="0" borderId="0" xfId="0" applyNumberFormat="1" applyFont="1" applyFill="1"/>
    <xf numFmtId="0" fontId="5" fillId="0" borderId="1" xfId="18" applyFont="1" applyFill="1" applyBorder="1" applyAlignment="1">
      <alignment horizontal="left" vertical="top" shrinkToFit="1"/>
    </xf>
    <xf numFmtId="0" fontId="5" fillId="0" borderId="1" xfId="18" applyFont="1" applyFill="1" applyBorder="1" applyAlignment="1">
      <alignment horizontal="left" vertical="top" wrapText="1"/>
    </xf>
    <xf numFmtId="4" fontId="5" fillId="0" borderId="1" xfId="18" applyNumberFormat="1" applyFont="1" applyFill="1" applyBorder="1" applyAlignment="1" applyProtection="1">
      <alignment horizontal="right" vertical="top" shrinkToFit="1"/>
      <protection locked="0"/>
    </xf>
    <xf numFmtId="0" fontId="6" fillId="0" borderId="1" xfId="18" applyFont="1" applyFill="1" applyBorder="1" applyAlignment="1">
      <alignment vertical="top" wrapText="1"/>
    </xf>
    <xf numFmtId="0" fontId="6" fillId="0" borderId="1" xfId="18" applyFont="1" applyFill="1" applyBorder="1" applyAlignment="1">
      <alignment horizontal="justify" vertical="top" wrapText="1"/>
    </xf>
    <xf numFmtId="4" fontId="4" fillId="0" borderId="1" xfId="18" applyNumberFormat="1" applyFont="1" applyFill="1" applyBorder="1" applyAlignment="1" applyProtection="1">
      <alignment horizontal="right" vertical="top" shrinkToFit="1"/>
      <protection locked="0"/>
    </xf>
    <xf numFmtId="4" fontId="12" fillId="0" borderId="0" xfId="0" applyNumberFormat="1" applyFont="1" applyFill="1" applyAlignment="1">
      <alignment vertical="top"/>
    </xf>
    <xf numFmtId="4" fontId="25" fillId="0" borderId="0" xfId="0" applyNumberFormat="1" applyFont="1" applyFill="1" applyAlignment="1">
      <alignment vertical="top"/>
    </xf>
    <xf numFmtId="0" fontId="6" fillId="0" borderId="1" xfId="18" applyFont="1" applyBorder="1" applyAlignment="1">
      <alignment vertical="top" wrapText="1"/>
    </xf>
    <xf numFmtId="0" fontId="6" fillId="0" borderId="1" xfId="18" applyFont="1" applyBorder="1" applyAlignment="1">
      <alignment horizontal="justify" vertical="top" wrapText="1"/>
    </xf>
    <xf numFmtId="0" fontId="5" fillId="0" borderId="1" xfId="18" applyFont="1" applyFill="1" applyBorder="1" applyAlignment="1">
      <alignment vertical="top" wrapText="1"/>
    </xf>
    <xf numFmtId="0" fontId="5" fillId="0" borderId="1" xfId="18" applyFont="1" applyFill="1" applyBorder="1" applyAlignment="1">
      <alignment horizontal="justify" vertical="top" wrapText="1"/>
    </xf>
    <xf numFmtId="0" fontId="28" fillId="0" borderId="0" xfId="0" applyFont="1" applyFill="1"/>
    <xf numFmtId="4" fontId="22" fillId="0" borderId="0" xfId="0" applyNumberFormat="1" applyFont="1" applyFill="1" applyAlignment="1">
      <alignment vertical="top"/>
    </xf>
    <xf numFmtId="4" fontId="40" fillId="0" borderId="0" xfId="0" applyNumberFormat="1" applyFont="1" applyFill="1"/>
    <xf numFmtId="4" fontId="28" fillId="0" borderId="0" xfId="0" applyNumberFormat="1" applyFont="1" applyFill="1"/>
    <xf numFmtId="49" fontId="6" fillId="0" borderId="1" xfId="18" applyNumberFormat="1" applyFont="1" applyFill="1" applyBorder="1" applyAlignment="1">
      <alignment vertical="top" wrapText="1"/>
    </xf>
    <xf numFmtId="4" fontId="10" fillId="0" borderId="2" xfId="19" applyFont="1" applyFill="1" applyProtection="1">
      <alignment horizontal="right" vertical="top" shrinkToFit="1"/>
    </xf>
    <xf numFmtId="0" fontId="0" fillId="0" borderId="0" xfId="0" applyFill="1" applyAlignment="1">
      <alignment vertical="center" wrapText="1"/>
    </xf>
    <xf numFmtId="0" fontId="6" fillId="0" borderId="1" xfId="18" applyFont="1" applyFill="1" applyBorder="1" applyAlignment="1">
      <alignment horizontal="left" vertical="top" shrinkToFit="1"/>
    </xf>
    <xf numFmtId="0" fontId="6" fillId="0" borderId="1" xfId="18" applyFont="1" applyFill="1" applyBorder="1" applyAlignment="1">
      <alignment horizontal="left" vertical="top" wrapText="1"/>
    </xf>
    <xf numFmtId="4" fontId="6" fillId="0" borderId="1" xfId="18" applyNumberFormat="1" applyFont="1" applyFill="1" applyBorder="1" applyAlignment="1" applyProtection="1">
      <alignment horizontal="right" vertical="top" shrinkToFit="1"/>
      <protection locked="0"/>
    </xf>
    <xf numFmtId="0" fontId="0" fillId="0" borderId="0" xfId="0" applyFont="1" applyFill="1"/>
    <xf numFmtId="4" fontId="0" fillId="0" borderId="0" xfId="0" applyNumberFormat="1" applyFont="1" applyFill="1"/>
    <xf numFmtId="4" fontId="4" fillId="0" borderId="1" xfId="18" applyNumberFormat="1" applyFont="1" applyFill="1" applyBorder="1" applyAlignment="1" applyProtection="1">
      <alignment vertical="top" shrinkToFit="1"/>
      <protection locked="0"/>
    </xf>
    <xf numFmtId="4" fontId="0" fillId="0" borderId="0" xfId="0" applyNumberFormat="1" applyFill="1" applyBorder="1"/>
    <xf numFmtId="0" fontId="0" fillId="0" borderId="0" xfId="0" applyFill="1" applyBorder="1"/>
    <xf numFmtId="0" fontId="6" fillId="0" borderId="5" xfId="18" applyFont="1" applyFill="1" applyBorder="1" applyAlignment="1">
      <alignment vertical="top" wrapText="1"/>
    </xf>
    <xf numFmtId="4" fontId="4" fillId="0" borderId="5" xfId="18" applyNumberFormat="1" applyFont="1" applyFill="1" applyBorder="1" applyAlignment="1" applyProtection="1">
      <alignment vertical="top" shrinkToFit="1"/>
      <protection locked="0"/>
    </xf>
    <xf numFmtId="1" fontId="42" fillId="0" borderId="2" xfId="20" applyNumberFormat="1" applyFont="1" applyFill="1" applyProtection="1">
      <alignment horizontal="center" vertical="top" shrinkToFit="1"/>
    </xf>
    <xf numFmtId="4" fontId="0" fillId="0" borderId="0" xfId="0" applyNumberFormat="1" applyFill="1" applyAlignment="1">
      <alignment wrapText="1"/>
    </xf>
    <xf numFmtId="4" fontId="6" fillId="0" borderId="0" xfId="18" applyNumberFormat="1" applyFont="1" applyFill="1" applyBorder="1" applyAlignment="1" applyProtection="1">
      <alignment horizontal="right" vertical="top" shrinkToFit="1"/>
      <protection locked="0"/>
    </xf>
    <xf numFmtId="0" fontId="42" fillId="0" borderId="2" xfId="21" applyNumberFormat="1" applyFont="1" applyAlignment="1" applyProtection="1">
      <alignment vertical="top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justify" vertical="center" wrapText="1"/>
    </xf>
    <xf numFmtId="49" fontId="42" fillId="0" borderId="2" xfId="22" applyFont="1" applyAlignment="1" applyProtection="1">
      <alignment horizontal="left" vertical="top" shrinkToFit="1"/>
    </xf>
    <xf numFmtId="0" fontId="42" fillId="0" borderId="2" xfId="23" applyNumberFormat="1" applyFont="1" applyAlignment="1" applyProtection="1">
      <alignment horizontal="left" vertical="top" wrapText="1"/>
    </xf>
    <xf numFmtId="1" fontId="43" fillId="0" borderId="2" xfId="20" applyNumberFormat="1" applyFont="1" applyAlignment="1" applyProtection="1">
      <alignment horizontal="left" vertical="top" shrinkToFit="1"/>
    </xf>
    <xf numFmtId="0" fontId="5" fillId="0" borderId="1" xfId="18" applyFont="1" applyFill="1" applyBorder="1" applyAlignment="1">
      <alignment horizontal="right" vertical="top" wrapText="1"/>
    </xf>
    <xf numFmtId="49" fontId="5" fillId="0" borderId="1" xfId="18" applyNumberFormat="1" applyFont="1" applyFill="1" applyBorder="1" applyAlignment="1">
      <alignment horizontal="left" vertical="top" shrinkToFit="1"/>
    </xf>
    <xf numFmtId="49" fontId="6" fillId="0" borderId="1" xfId="18" applyNumberFormat="1" applyFont="1" applyFill="1" applyBorder="1" applyAlignment="1">
      <alignment horizontal="left" vertical="top" shrinkToFit="1"/>
    </xf>
    <xf numFmtId="4" fontId="36" fillId="0" borderId="0" xfId="0" applyNumberFormat="1" applyFont="1" applyFill="1" applyAlignment="1">
      <alignment vertical="top"/>
    </xf>
    <xf numFmtId="0" fontId="6" fillId="0" borderId="1" xfId="0" applyNumberFormat="1" applyFont="1" applyFill="1" applyBorder="1" applyAlignment="1">
      <alignment horizontal="center" vertical="top" wrapText="1"/>
    </xf>
    <xf numFmtId="0" fontId="44" fillId="0" borderId="2" xfId="24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0" fontId="45" fillId="0" borderId="0" xfId="0" applyFont="1" applyFill="1" applyBorder="1"/>
    <xf numFmtId="4" fontId="33" fillId="0" borderId="0" xfId="0" applyNumberFormat="1" applyFont="1" applyFill="1" applyAlignment="1">
      <alignment vertical="top"/>
    </xf>
    <xf numFmtId="4" fontId="45" fillId="0" borderId="0" xfId="0" applyNumberFormat="1" applyFont="1" applyFill="1"/>
    <xf numFmtId="0" fontId="10" fillId="0" borderId="1" xfId="0" applyFont="1" applyFill="1" applyBorder="1" applyAlignment="1">
      <alignment horizontal="left" vertical="top" wrapText="1"/>
    </xf>
    <xf numFmtId="4" fontId="35" fillId="0" borderId="1" xfId="0" applyNumberFormat="1" applyFont="1" applyFill="1" applyBorder="1" applyAlignment="1">
      <alignment vertical="top"/>
    </xf>
    <xf numFmtId="0" fontId="10" fillId="0" borderId="1" xfId="0" applyNumberFormat="1" applyFont="1" applyFill="1" applyBorder="1" applyAlignment="1">
      <alignment horizontal="left" vertical="top" wrapText="1"/>
    </xf>
    <xf numFmtId="1" fontId="43" fillId="0" borderId="2" xfId="20" applyNumberFormat="1" applyFont="1" applyProtection="1">
      <alignment horizontal="center" vertical="top" shrinkToFit="1"/>
    </xf>
    <xf numFmtId="0" fontId="46" fillId="0" borderId="2" xfId="21" applyNumberFormat="1" applyFont="1" applyProtection="1">
      <alignment horizontal="left" vertical="top" wrapText="1"/>
    </xf>
    <xf numFmtId="4" fontId="36" fillId="0" borderId="1" xfId="0" applyNumberFormat="1" applyFont="1" applyFill="1" applyBorder="1" applyAlignment="1">
      <alignment vertical="top"/>
    </xf>
    <xf numFmtId="0" fontId="33" fillId="0" borderId="1" xfId="0" applyFont="1" applyFill="1" applyBorder="1"/>
    <xf numFmtId="0" fontId="33" fillId="0" borderId="1" xfId="0" applyFont="1" applyFill="1" applyBorder="1" applyAlignment="1">
      <alignment horizontal="right"/>
    </xf>
    <xf numFmtId="4" fontId="33" fillId="0" borderId="1" xfId="0" applyNumberFormat="1" applyFont="1" applyFill="1" applyBorder="1"/>
    <xf numFmtId="4" fontId="31" fillId="0" borderId="0" xfId="0" applyNumberFormat="1" applyFont="1" applyFill="1"/>
    <xf numFmtId="0" fontId="37" fillId="0" borderId="0" xfId="0" applyFont="1" applyFill="1"/>
    <xf numFmtId="0" fontId="37" fillId="0" borderId="0" xfId="0" applyFont="1" applyFill="1" applyAlignment="1">
      <alignment horizontal="left"/>
    </xf>
    <xf numFmtId="4" fontId="37" fillId="0" borderId="0" xfId="0" applyNumberFormat="1" applyFont="1" applyFill="1" applyAlignment="1"/>
    <xf numFmtId="4" fontId="31" fillId="0" borderId="0" xfId="0" applyNumberFormat="1" applyFont="1" applyFill="1" applyAlignment="1"/>
    <xf numFmtId="49" fontId="20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4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/>
    </xf>
    <xf numFmtId="49" fontId="6" fillId="0" borderId="1" xfId="1" quotePrefix="1" applyNumberFormat="1" applyFont="1" applyFill="1" applyBorder="1" applyAlignment="1">
      <alignment horizontal="left" vertical="center" wrapText="1" shrinkToFit="1"/>
    </xf>
    <xf numFmtId="49" fontId="6" fillId="0" borderId="3" xfId="0" applyNumberFormat="1" applyFont="1" applyFill="1" applyBorder="1" applyAlignment="1">
      <alignment horizontal="left" vertical="center" wrapText="1" shrinkToFit="1"/>
    </xf>
    <xf numFmtId="4" fontId="30" fillId="0" borderId="1" xfId="0" applyNumberFormat="1" applyFont="1" applyFill="1" applyBorder="1" applyAlignment="1">
      <alignment horizontal="right" shrinkToFit="1"/>
    </xf>
    <xf numFmtId="4" fontId="6" fillId="0" borderId="1" xfId="0" applyNumberFormat="1" applyFont="1" applyFill="1" applyBorder="1" applyAlignment="1">
      <alignment wrapText="1" shrinkToFi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4" fontId="8" fillId="0" borderId="0" xfId="0" applyNumberFormat="1" applyFont="1" applyFill="1" applyBorder="1"/>
    <xf numFmtId="0" fontId="9" fillId="0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/>
    <xf numFmtId="0" fontId="1" fillId="0" borderId="0" xfId="0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19" fillId="0" borderId="0" xfId="0" applyFont="1" applyFill="1" applyBorder="1"/>
    <xf numFmtId="0" fontId="18" fillId="0" borderId="0" xfId="0" applyFont="1" applyFill="1" applyBorder="1" applyAlignment="1">
      <alignment wrapText="1" shrinkToFit="1"/>
    </xf>
    <xf numFmtId="4" fontId="14" fillId="0" borderId="0" xfId="0" applyNumberFormat="1" applyFont="1" applyFill="1"/>
    <xf numFmtId="4" fontId="13" fillId="0" borderId="0" xfId="0" applyNumberFormat="1" applyFont="1" applyFill="1"/>
    <xf numFmtId="4" fontId="2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/>
    <xf numFmtId="4" fontId="12" fillId="0" borderId="1" xfId="0" applyNumberFormat="1" applyFont="1" applyFill="1" applyBorder="1" applyAlignment="1"/>
    <xf numFmtId="4" fontId="22" fillId="0" borderId="1" xfId="0" applyNumberFormat="1" applyFont="1" applyFill="1" applyBorder="1"/>
    <xf numFmtId="4" fontId="12" fillId="0" borderId="8" xfId="0" applyNumberFormat="1" applyFont="1" applyFill="1" applyBorder="1"/>
    <xf numFmtId="49" fontId="12" fillId="0" borderId="1" xfId="0" applyNumberFormat="1" applyFont="1" applyFill="1" applyBorder="1" applyAlignment="1">
      <alignment wrapText="1" shrinkToFit="1"/>
    </xf>
    <xf numFmtId="0" fontId="12" fillId="0" borderId="1" xfId="0" applyFont="1" applyFill="1" applyBorder="1" applyAlignment="1">
      <alignment wrapText="1" shrinkToFit="1"/>
    </xf>
    <xf numFmtId="4" fontId="15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" fontId="18" fillId="0" borderId="0" xfId="0" applyNumberFormat="1" applyFont="1" applyFill="1"/>
    <xf numFmtId="4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left" wrapText="1" shrinkToFit="1"/>
    </xf>
    <xf numFmtId="4" fontId="10" fillId="0" borderId="0" xfId="19" applyNumberFormat="1" applyFont="1" applyFill="1" applyBorder="1" applyProtection="1">
      <alignment horizontal="right" vertical="top" shrinkToFit="1"/>
    </xf>
    <xf numFmtId="4" fontId="0" fillId="0" borderId="0" xfId="0" applyNumberFormat="1" applyFill="1" applyBorder="1" applyAlignment="1">
      <alignment vertical="center"/>
    </xf>
    <xf numFmtId="4" fontId="10" fillId="0" borderId="0" xfId="19" applyNumberFormat="1" applyFont="1" applyFill="1" applyBorder="1" applyAlignment="1" applyProtection="1">
      <alignment horizontal="right" vertical="center" shrinkToFit="1"/>
    </xf>
    <xf numFmtId="4" fontId="45" fillId="0" borderId="0" xfId="0" applyNumberFormat="1" applyFont="1" applyFill="1" applyBorder="1"/>
    <xf numFmtId="4" fontId="10" fillId="0" borderId="9" xfId="24" applyNumberFormat="1" applyFont="1" applyFill="1" applyBorder="1" applyAlignment="1">
      <alignment horizontal="right" vertical="top" shrinkToFit="1"/>
    </xf>
    <xf numFmtId="4" fontId="42" fillId="0" borderId="9" xfId="24" applyNumberFormat="1" applyFont="1" applyFill="1" applyBorder="1" applyAlignment="1">
      <alignment horizontal="right" vertical="top" shrinkToFit="1"/>
    </xf>
    <xf numFmtId="0" fontId="20" fillId="0" borderId="1" xfId="0" applyFont="1" applyFill="1" applyBorder="1" applyAlignment="1">
      <alignment horizontal="center" wrapText="1"/>
    </xf>
    <xf numFmtId="164" fontId="6" fillId="0" borderId="1" xfId="3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>
      <alignment horizontal="center" shrinkToFit="1"/>
    </xf>
    <xf numFmtId="49" fontId="6" fillId="0" borderId="1" xfId="0" applyNumberFormat="1" applyFont="1" applyFill="1" applyBorder="1" applyAlignment="1">
      <alignment horizontal="center" shrinkToFit="1"/>
    </xf>
    <xf numFmtId="0" fontId="6" fillId="0" borderId="1" xfId="0" applyNumberFormat="1" applyFont="1" applyFill="1" applyBorder="1" applyAlignment="1">
      <alignment horizontal="left" vertical="top" wrapText="1" shrinkToFit="1"/>
    </xf>
    <xf numFmtId="0" fontId="6" fillId="0" borderId="0" xfId="0" applyFont="1" applyFill="1" applyAlignment="1">
      <alignment wrapText="1" shrinkToFit="1"/>
    </xf>
    <xf numFmtId="49" fontId="5" fillId="0" borderId="6" xfId="0" applyNumberFormat="1" applyFont="1" applyFill="1" applyBorder="1" applyAlignment="1">
      <alignment wrapText="1" shrinkToFit="1"/>
    </xf>
    <xf numFmtId="49" fontId="6" fillId="0" borderId="6" xfId="0" applyNumberFormat="1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wrapText="1" shrinkToFit="1"/>
    </xf>
    <xf numFmtId="4" fontId="11" fillId="0" borderId="0" xfId="0" applyNumberFormat="1" applyFont="1" applyFill="1" applyBorder="1" applyAlignment="1">
      <alignment wrapText="1"/>
    </xf>
    <xf numFmtId="1" fontId="1" fillId="0" borderId="0" xfId="0" applyNumberFormat="1" applyFont="1" applyFill="1"/>
    <xf numFmtId="1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wrapText="1" shrinkToFit="1"/>
    </xf>
    <xf numFmtId="1" fontId="6" fillId="0" borderId="5" xfId="0" applyNumberFormat="1" applyFont="1" applyFill="1" applyBorder="1" applyAlignment="1">
      <alignment wrapText="1" shrinkToFit="1"/>
    </xf>
    <xf numFmtId="1" fontId="6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/>
    <xf numFmtId="1" fontId="6" fillId="0" borderId="0" xfId="0" applyNumberFormat="1" applyFont="1" applyFill="1" applyBorder="1" applyAlignment="1">
      <alignment wrapText="1" shrinkToFit="1"/>
    </xf>
    <xf numFmtId="1" fontId="1" fillId="0" borderId="0" xfId="0" applyNumberFormat="1" applyFont="1" applyFill="1" applyBorder="1"/>
    <xf numFmtId="4" fontId="0" fillId="0" borderId="0" xfId="0" applyNumberFormat="1" applyFont="1" applyFill="1" applyAlignment="1">
      <alignment vertical="center"/>
    </xf>
    <xf numFmtId="1" fontId="6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 shrinkToFit="1"/>
    </xf>
    <xf numFmtId="1" fontId="6" fillId="0" borderId="1" xfId="0" applyNumberFormat="1" applyFont="1" applyFill="1" applyBorder="1" applyAlignment="1">
      <alignment horizontal="left" wrapText="1" shrinkToFit="1"/>
    </xf>
    <xf numFmtId="4" fontId="6" fillId="0" borderId="1" xfId="18" applyNumberFormat="1" applyFont="1" applyFill="1" applyBorder="1" applyAlignment="1" applyProtection="1">
      <alignment horizontal="right" vertical="center" shrinkToFit="1"/>
      <protection locked="0"/>
    </xf>
    <xf numFmtId="4" fontId="35" fillId="0" borderId="1" xfId="0" applyNumberFormat="1" applyFont="1" applyFill="1" applyBorder="1" applyAlignment="1">
      <alignment vertical="center"/>
    </xf>
    <xf numFmtId="3" fontId="1" fillId="0" borderId="0" xfId="0" applyNumberFormat="1" applyFont="1" applyFill="1"/>
    <xf numFmtId="3" fontId="6" fillId="0" borderId="1" xfId="0" applyNumberFormat="1" applyFont="1" applyFill="1" applyBorder="1" applyAlignment="1">
      <alignment horizontal="center" vertical="top" wrapText="1"/>
    </xf>
    <xf numFmtId="4" fontId="10" fillId="0" borderId="2" xfId="24" applyNumberFormat="1" applyFont="1" applyFill="1" applyBorder="1" applyAlignment="1">
      <alignment horizontal="right" vertical="top" shrinkToFit="1"/>
    </xf>
    <xf numFmtId="4" fontId="10" fillId="0" borderId="2" xfId="24" applyNumberFormat="1" applyFont="1" applyFill="1" applyBorder="1" applyAlignment="1">
      <alignment horizontal="right" vertical="center" shrinkToFit="1"/>
    </xf>
    <xf numFmtId="4" fontId="15" fillId="0" borderId="0" xfId="0" applyNumberFormat="1" applyFont="1" applyFill="1" applyAlignment="1"/>
    <xf numFmtId="4" fontId="1" fillId="0" borderId="0" xfId="0" applyNumberFormat="1" applyFont="1" applyFill="1" applyAlignment="1"/>
    <xf numFmtId="43" fontId="12" fillId="0" borderId="1" xfId="3" applyFont="1" applyFill="1" applyBorder="1" applyAlignment="1" applyProtection="1">
      <alignment horizontal="right" vertical="center"/>
      <protection locked="0"/>
    </xf>
    <xf numFmtId="4" fontId="12" fillId="0" borderId="1" xfId="3" applyNumberFormat="1" applyFont="1" applyFill="1" applyBorder="1" applyAlignment="1" applyProtection="1">
      <alignment horizontal="right" vertical="center"/>
      <protection locked="0"/>
    </xf>
    <xf numFmtId="4" fontId="25" fillId="0" borderId="0" xfId="0" applyNumberFormat="1" applyFont="1" applyFill="1"/>
    <xf numFmtId="4" fontId="25" fillId="0" borderId="0" xfId="0" applyNumberFormat="1" applyFont="1" applyFill="1" applyBorder="1"/>
    <xf numFmtId="0" fontId="25" fillId="0" borderId="0" xfId="0" applyFont="1" applyFill="1" applyBorder="1"/>
    <xf numFmtId="4" fontId="12" fillId="0" borderId="5" xfId="0" applyNumberFormat="1" applyFont="1" applyFill="1" applyBorder="1" applyAlignment="1">
      <alignment horizontal="right"/>
    </xf>
    <xf numFmtId="4" fontId="47" fillId="0" borderId="0" xfId="0" applyNumberFormat="1" applyFont="1" applyFill="1" applyBorder="1" applyAlignment="1">
      <alignment vertical="center" shrinkToFit="1"/>
    </xf>
    <xf numFmtId="49" fontId="6" fillId="0" borderId="4" xfId="0" applyNumberFormat="1" applyFont="1" applyFill="1" applyBorder="1" applyAlignment="1">
      <alignment horizontal="left" vertical="center" wrapText="1" shrinkToFit="1"/>
    </xf>
    <xf numFmtId="0" fontId="10" fillId="0" borderId="5" xfId="0" applyNumberFormat="1" applyFont="1" applyFill="1" applyBorder="1" applyAlignment="1">
      <alignment horizontal="left" vertical="top" wrapText="1" shrinkToFit="1"/>
    </xf>
    <xf numFmtId="49" fontId="6" fillId="0" borderId="5" xfId="0" applyNumberFormat="1" applyFont="1" applyFill="1" applyBorder="1" applyAlignment="1">
      <alignment horizontal="center" vertical="top" shrinkToFit="1"/>
    </xf>
    <xf numFmtId="4" fontId="12" fillId="0" borderId="1" xfId="0" applyNumberFormat="1" applyFont="1" applyFill="1" applyBorder="1" applyAlignment="1">
      <alignment vertical="center" shrinkToFit="1"/>
    </xf>
    <xf numFmtId="4" fontId="49" fillId="0" borderId="1" xfId="0" applyNumberFormat="1" applyFont="1" applyFill="1" applyBorder="1" applyAlignment="1">
      <alignment horizontal="right" shrinkToFit="1"/>
    </xf>
    <xf numFmtId="1" fontId="5" fillId="0" borderId="1" xfId="0" applyNumberFormat="1" applyFont="1" applyFill="1" applyBorder="1" applyAlignment="1">
      <alignment wrapText="1" shrinkToFit="1"/>
    </xf>
    <xf numFmtId="1" fontId="5" fillId="0" borderId="1" xfId="0" applyNumberFormat="1" applyFont="1" applyFill="1" applyBorder="1" applyAlignment="1">
      <alignment horizontal="left" vertical="top" wrapText="1"/>
    </xf>
    <xf numFmtId="4" fontId="22" fillId="0" borderId="1" xfId="0" applyNumberFormat="1" applyFont="1" applyFill="1" applyBorder="1" applyAlignment="1" applyProtection="1">
      <alignment horizontal="right" vertical="top" shrinkToFit="1"/>
      <protection locked="0"/>
    </xf>
    <xf numFmtId="4" fontId="12" fillId="0" borderId="1" xfId="0" applyNumberFormat="1" applyFont="1" applyFill="1" applyBorder="1" applyAlignment="1" applyProtection="1">
      <alignment horizontal="right" vertical="top" shrinkToFit="1"/>
      <protection locked="0"/>
    </xf>
    <xf numFmtId="4" fontId="9" fillId="0" borderId="0" xfId="0" applyNumberFormat="1" applyFont="1" applyFill="1"/>
    <xf numFmtId="0" fontId="12" fillId="0" borderId="0" xfId="0" applyFont="1" applyFill="1"/>
    <xf numFmtId="0" fontId="25" fillId="0" borderId="0" xfId="0" applyFont="1" applyFill="1"/>
    <xf numFmtId="0" fontId="50" fillId="0" borderId="0" xfId="0" applyFont="1" applyFill="1"/>
    <xf numFmtId="0" fontId="51" fillId="0" borderId="0" xfId="0" applyFont="1" applyFill="1"/>
    <xf numFmtId="4" fontId="52" fillId="0" borderId="0" xfId="0" applyNumberFormat="1" applyFont="1" applyFill="1"/>
    <xf numFmtId="0" fontId="52" fillId="0" borderId="0" xfId="0" applyFont="1" applyFill="1"/>
    <xf numFmtId="0" fontId="53" fillId="0" borderId="0" xfId="0" applyFont="1" applyFill="1" applyAlignment="1"/>
    <xf numFmtId="0" fontId="54" fillId="0" borderId="0" xfId="0" applyFont="1" applyFill="1"/>
    <xf numFmtId="0" fontId="53" fillId="0" borderId="0" xfId="0" applyFont="1" applyFill="1"/>
    <xf numFmtId="4" fontId="55" fillId="0" borderId="1" xfId="0" applyNumberFormat="1" applyFont="1" applyFill="1" applyBorder="1" applyAlignment="1"/>
    <xf numFmtId="0" fontId="54" fillId="0" borderId="0" xfId="0" applyFont="1" applyFill="1" applyAlignment="1">
      <alignment wrapText="1" shrinkToFit="1"/>
    </xf>
    <xf numFmtId="0" fontId="40" fillId="0" borderId="0" xfId="0" applyFont="1" applyFill="1"/>
    <xf numFmtId="4" fontId="55" fillId="0" borderId="1" xfId="0" applyNumberFormat="1" applyFont="1" applyFill="1" applyBorder="1"/>
    <xf numFmtId="0" fontId="56" fillId="0" borderId="0" xfId="0" applyFont="1" applyFill="1"/>
    <xf numFmtId="0" fontId="57" fillId="0" borderId="0" xfId="0" applyFont="1" applyFill="1"/>
    <xf numFmtId="4" fontId="53" fillId="0" borderId="0" xfId="0" applyNumberFormat="1" applyFont="1" applyFill="1"/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4" fontId="6" fillId="0" borderId="10" xfId="0" applyNumberFormat="1" applyFont="1" applyFill="1" applyBorder="1"/>
    <xf numFmtId="4" fontId="28" fillId="0" borderId="0" xfId="0" applyNumberFormat="1" applyFont="1"/>
    <xf numFmtId="4" fontId="42" fillId="0" borderId="2" xfId="24" applyNumberFormat="1" applyFont="1" applyFill="1" applyBorder="1" applyAlignment="1">
      <alignment horizontal="right" vertical="top" shrinkToFit="1"/>
    </xf>
    <xf numFmtId="3" fontId="32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 wrapText="1"/>
    </xf>
    <xf numFmtId="0" fontId="33" fillId="0" borderId="0" xfId="0" applyFont="1" applyAlignment="1">
      <alignment horizontal="center" wrapText="1" shrinkToFit="1"/>
    </xf>
    <xf numFmtId="0" fontId="33" fillId="0" borderId="0" xfId="0" applyFont="1" applyAlignment="1">
      <alignment horizontal="center" wrapText="1"/>
    </xf>
  </cellXfs>
  <cellStyles count="27">
    <cellStyle name="xl22" xfId="6"/>
    <cellStyle name="xl23 2" xfId="20"/>
    <cellStyle name="xl29" xfId="22"/>
    <cellStyle name="xl34 2" xfId="2"/>
    <cellStyle name="xl35" xfId="25"/>
    <cellStyle name="xl35 2" xfId="10"/>
    <cellStyle name="xl36" xfId="5"/>
    <cellStyle name="xl39 3" xfId="23"/>
    <cellStyle name="xl42" xfId="26"/>
    <cellStyle name="xl44" xfId="21"/>
    <cellStyle name="xl45" xfId="19"/>
    <cellStyle name="Обычный" xfId="0" builtinId="0"/>
    <cellStyle name="Обычный 10" xfId="18"/>
    <cellStyle name="Обычный 172" xfId="12"/>
    <cellStyle name="Обычный 174" xfId="11"/>
    <cellStyle name="Обычный 181" xfId="9"/>
    <cellStyle name="Обычный 189" xfId="16"/>
    <cellStyle name="Обычный 194" xfId="13"/>
    <cellStyle name="Обычный 195" xfId="15"/>
    <cellStyle name="Обычный 196" xfId="7"/>
    <cellStyle name="Обычный 21" xfId="8"/>
    <cellStyle name="Обычный 29" xfId="14"/>
    <cellStyle name="Обычный 3" xfId="1"/>
    <cellStyle name="Обычный 90" xfId="24"/>
    <cellStyle name="Процентный 2" xfId="17"/>
    <cellStyle name="Финансовый" xfId="3" builtinId="3"/>
    <cellStyle name="Хороший" xfId="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6;&#1077;&#1096;&#1077;&#1085;&#1080;&#1103;%20&#1073;&#1102;&#1076;&#1078;&#1077;&#1090;%202023-2025/1-&#1103;%20&#1089;&#1077;&#1089;&#1089;&#1080;&#1103;%20&#1072;&#1074;&#1075;&#1091;&#1089;&#1090;/&#1055;&#1088;&#1080;&#1083;&#1086;&#1078;&#1077;&#1085;&#1080;&#1103;%20&#1082;%20&#1074;&#1085;&#1077;&#1089;&#1077;&#1085;&#1080;&#1102;%20&#1080;&#1079;&#1084;&#1077;&#1085;&#1077;&#1085;&#1080;&#1081;%202023-2025%20&#1087;&#1086;%2026&#1080;&#1102;&#1083;&#1103;%20&#1087;&#1086;&#1089;&#1083;&#1077;%20&#1088;&#1077;&#1076;&#1072;&#1082;&#1094;&#1080;&#1086;&#1085;&#1085;&#1086;&#1081;%20&#1085;&#1072;%202%20&#1075;&#1086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80;&#1083;&#1086;&#1078;&#1077;&#1085;&#1080;&#1103;%20&#1082;%20&#1087;&#1088;&#1086;&#1077;&#1082;&#1090;&#1091;%20&#1073;&#1102;&#1076;&#1078;&#1077;&#1090;&#1072;%202023-2025%20&#1089;%20&#1087;&#1088;&#1086;&#1090;&#1086;&#1082;&#1086;&#1083;&#1086;&#1084;%20&#1055;&#1057;%20&#1087;&#1086;&#1089;&#1083;&#1077;%20&#1088;&#1077;&#1076;&#1072;&#108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"/>
      <sheetName val="Приложение 2"/>
      <sheetName val="Приложение 3"/>
      <sheetName val="Приложение 4"/>
      <sheetName val="Приложение 5"/>
      <sheetName val="Приложение 6"/>
      <sheetName val="Приложение 7"/>
      <sheetName val="Приложение 8"/>
      <sheetName val="Приложение 9"/>
    </sheetNames>
    <sheetDataSet>
      <sheetData sheetId="0"/>
      <sheetData sheetId="1">
        <row r="15">
          <cell r="D15">
            <v>2102959380.4100001</v>
          </cell>
        </row>
      </sheetData>
      <sheetData sheetId="2">
        <row r="13">
          <cell r="F13">
            <v>1426983766.74</v>
          </cell>
        </row>
        <row r="144">
          <cell r="G144">
            <v>0</v>
          </cell>
          <cell r="H144">
            <v>0</v>
          </cell>
        </row>
      </sheetData>
      <sheetData sheetId="3">
        <row r="15">
          <cell r="F15">
            <v>3529943147.1500001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_1 "/>
      <sheetName val="Приложение_2"/>
      <sheetName val="Приложение 3"/>
      <sheetName val="Приложение 4"/>
      <sheetName val="Приложение 5"/>
      <sheetName val="Приложение 6"/>
      <sheetName val="Приложение 7"/>
      <sheetName val="Приложение 8"/>
      <sheetName val="Приложение 9"/>
      <sheetName val="Приложение 10"/>
      <sheetName val="Приложение 11"/>
      <sheetName val="Приложение 12"/>
    </sheetNames>
    <sheetDataSet>
      <sheetData sheetId="0" refreshError="1"/>
      <sheetData sheetId="1">
        <row r="141">
          <cell r="C141">
            <v>2786608772.9499998</v>
          </cell>
        </row>
      </sheetData>
      <sheetData sheetId="2" refreshError="1"/>
      <sheetData sheetId="3">
        <row r="217">
          <cell r="G217">
            <v>0</v>
          </cell>
          <cell r="H217">
            <v>0</v>
          </cell>
        </row>
      </sheetData>
      <sheetData sheetId="4" refreshError="1"/>
      <sheetData sheetId="5">
        <row r="16">
          <cell r="G16">
            <v>3271218493.838119</v>
          </cell>
        </row>
      </sheetData>
      <sheetData sheetId="6">
        <row r="13">
          <cell r="H13">
            <v>308656576.75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35"/>
  <sheetViews>
    <sheetView tabSelected="1" zoomScaleNormal="100" workbookViewId="0">
      <selection activeCell="I5" sqref="I3:I5"/>
    </sheetView>
  </sheetViews>
  <sheetFormatPr defaultColWidth="9.140625" defaultRowHeight="15" x14ac:dyDescent="0.25"/>
  <cols>
    <col min="1" max="1" width="31.140625" style="153" bestFit="1" customWidth="1"/>
    <col min="2" max="2" width="60" style="153" customWidth="1"/>
    <col min="3" max="3" width="21.7109375" style="305" customWidth="1"/>
    <col min="4" max="4" width="21.7109375" style="154" customWidth="1"/>
    <col min="5" max="5" width="22.42578125" style="154" customWidth="1"/>
    <col min="6" max="6" width="9.140625" style="155" customWidth="1"/>
    <col min="7" max="9" width="20.7109375" style="157" customWidth="1"/>
    <col min="10" max="10" width="25.85546875" style="155" customWidth="1"/>
    <col min="11" max="11" width="11.5703125" style="155" customWidth="1"/>
    <col min="12" max="17" width="9.140625" style="155" customWidth="1"/>
    <col min="18" max="18" width="16" style="156" customWidth="1"/>
    <col min="19" max="19" width="11.42578125" style="155" customWidth="1"/>
    <col min="20" max="20" width="19" style="157" customWidth="1"/>
    <col min="21" max="27" width="9.140625" style="155" customWidth="1"/>
    <col min="28" max="28" width="14.85546875" style="155" customWidth="1"/>
    <col min="29" max="16384" width="9.140625" style="155"/>
  </cols>
  <sheetData>
    <row r="2" spans="1:20" ht="18.75" x14ac:dyDescent="0.3">
      <c r="D2" s="349" t="s">
        <v>673</v>
      </c>
      <c r="E2" s="349"/>
    </row>
    <row r="3" spans="1:20" ht="18.75" x14ac:dyDescent="0.3">
      <c r="D3" s="349" t="s">
        <v>153</v>
      </c>
      <c r="E3" s="349"/>
    </row>
    <row r="4" spans="1:20" ht="18.75" x14ac:dyDescent="0.3">
      <c r="D4" s="349" t="s">
        <v>2</v>
      </c>
      <c r="E4" s="349"/>
    </row>
    <row r="5" spans="1:20" ht="18.75" x14ac:dyDescent="0.3">
      <c r="D5" s="349" t="s">
        <v>3</v>
      </c>
      <c r="E5" s="349"/>
    </row>
    <row r="6" spans="1:20" ht="18.75" x14ac:dyDescent="0.3">
      <c r="D6" s="349" t="s">
        <v>4</v>
      </c>
      <c r="E6" s="349"/>
    </row>
    <row r="7" spans="1:20" ht="18.75" x14ac:dyDescent="0.3">
      <c r="D7" s="349" t="s">
        <v>694</v>
      </c>
      <c r="E7" s="349"/>
    </row>
    <row r="8" spans="1:20" ht="18.75" x14ac:dyDescent="0.3">
      <c r="D8" s="349" t="s">
        <v>693</v>
      </c>
      <c r="E8" s="349"/>
    </row>
    <row r="11" spans="1:20" ht="36" customHeight="1" x14ac:dyDescent="0.25">
      <c r="A11" s="350" t="s">
        <v>332</v>
      </c>
      <c r="B11" s="350"/>
      <c r="C11" s="350"/>
      <c r="D11" s="350"/>
      <c r="E11" s="350"/>
    </row>
    <row r="13" spans="1:20" x14ac:dyDescent="0.25">
      <c r="E13" s="158"/>
    </row>
    <row r="14" spans="1:20" s="161" customFormat="1" ht="27" customHeight="1" x14ac:dyDescent="0.25">
      <c r="A14" s="159" t="s">
        <v>321</v>
      </c>
      <c r="B14" s="159" t="s">
        <v>6</v>
      </c>
      <c r="C14" s="306" t="s">
        <v>11</v>
      </c>
      <c r="D14" s="160" t="s">
        <v>12</v>
      </c>
      <c r="E14" s="160" t="s">
        <v>143</v>
      </c>
      <c r="G14" s="162"/>
      <c r="H14" s="162"/>
      <c r="I14" s="162"/>
      <c r="R14" s="156"/>
      <c r="T14" s="162"/>
    </row>
    <row r="15" spans="1:20" ht="15.75" x14ac:dyDescent="0.25">
      <c r="A15" s="163" t="s">
        <v>333</v>
      </c>
      <c r="B15" s="164" t="s">
        <v>334</v>
      </c>
      <c r="C15" s="165">
        <f>SUM(C16:C20)</f>
        <v>2509900000</v>
      </c>
      <c r="D15" s="165">
        <f>SUM(D16:D20)</f>
        <v>2676900000</v>
      </c>
      <c r="E15" s="165">
        <f>SUM(E16:E20)</f>
        <v>2853400000</v>
      </c>
    </row>
    <row r="16" spans="1:20" ht="112.5" customHeight="1" x14ac:dyDescent="0.25">
      <c r="A16" s="166" t="s">
        <v>335</v>
      </c>
      <c r="B16" s="167" t="s">
        <v>336</v>
      </c>
      <c r="C16" s="168">
        <f>2469800000</f>
        <v>2469800000</v>
      </c>
      <c r="D16" s="168">
        <v>2636800000</v>
      </c>
      <c r="E16" s="168">
        <v>2813300000</v>
      </c>
    </row>
    <row r="17" spans="1:28" ht="135" x14ac:dyDescent="0.25">
      <c r="A17" s="166" t="s">
        <v>337</v>
      </c>
      <c r="B17" s="167" t="s">
        <v>338</v>
      </c>
      <c r="C17" s="168">
        <v>2000000</v>
      </c>
      <c r="D17" s="168">
        <v>2000000</v>
      </c>
      <c r="E17" s="168">
        <v>2000000</v>
      </c>
    </row>
    <row r="18" spans="1:28" ht="60" x14ac:dyDescent="0.25">
      <c r="A18" s="166" t="s">
        <v>339</v>
      </c>
      <c r="B18" s="167" t="s">
        <v>340</v>
      </c>
      <c r="C18" s="168">
        <v>2200000</v>
      </c>
      <c r="D18" s="168">
        <v>2200000</v>
      </c>
      <c r="E18" s="168">
        <v>2200000</v>
      </c>
    </row>
    <row r="19" spans="1:28" ht="135" x14ac:dyDescent="0.25">
      <c r="A19" s="166" t="s">
        <v>341</v>
      </c>
      <c r="B19" s="167" t="s">
        <v>342</v>
      </c>
      <c r="C19" s="168">
        <v>27000000</v>
      </c>
      <c r="D19" s="168">
        <v>27000000</v>
      </c>
      <c r="E19" s="168">
        <v>27000000</v>
      </c>
      <c r="R19" s="169"/>
      <c r="S19" s="170"/>
    </row>
    <row r="20" spans="1:28" ht="165" x14ac:dyDescent="0.25">
      <c r="A20" s="171" t="s">
        <v>343</v>
      </c>
      <c r="B20" s="172" t="s">
        <v>344</v>
      </c>
      <c r="C20" s="168">
        <v>8900000</v>
      </c>
      <c r="D20" s="168">
        <v>8900000</v>
      </c>
      <c r="E20" s="168">
        <v>8900000</v>
      </c>
      <c r="R20" s="169"/>
      <c r="S20" s="170"/>
    </row>
    <row r="21" spans="1:28" s="175" customFormat="1" ht="47.25" x14ac:dyDescent="0.25">
      <c r="A21" s="173" t="s">
        <v>530</v>
      </c>
      <c r="B21" s="174" t="s">
        <v>345</v>
      </c>
      <c r="C21" s="165">
        <f>SUM(C22:C25)</f>
        <v>14710417.09</v>
      </c>
      <c r="D21" s="165">
        <f>SUM(D22:D25)</f>
        <v>18228014.07</v>
      </c>
      <c r="E21" s="165">
        <f>SUM(E22:E25)</f>
        <v>19025082.149999999</v>
      </c>
      <c r="G21" s="178"/>
      <c r="H21" s="178"/>
      <c r="I21" s="178"/>
      <c r="R21" s="176"/>
      <c r="S21" s="177"/>
      <c r="T21" s="178"/>
    </row>
    <row r="22" spans="1:28" ht="150" x14ac:dyDescent="0.25">
      <c r="A22" s="179" t="s">
        <v>531</v>
      </c>
      <c r="B22" s="167" t="s">
        <v>346</v>
      </c>
      <c r="C22" s="180">
        <v>7672093.9400000004</v>
      </c>
      <c r="D22" s="180">
        <v>9483258.3900000006</v>
      </c>
      <c r="E22" s="180">
        <v>9910127.1899999995</v>
      </c>
      <c r="G22" s="274"/>
      <c r="H22" s="274"/>
      <c r="I22" s="274"/>
      <c r="R22" s="169"/>
      <c r="S22" s="170"/>
      <c r="AB22" s="181"/>
    </row>
    <row r="23" spans="1:28" ht="165" x14ac:dyDescent="0.25">
      <c r="A23" s="179" t="s">
        <v>532</v>
      </c>
      <c r="B23" s="167" t="s">
        <v>347</v>
      </c>
      <c r="C23" s="180">
        <v>36555.129999999997</v>
      </c>
      <c r="D23" s="180">
        <v>49826.26</v>
      </c>
      <c r="E23" s="180">
        <v>52640.04</v>
      </c>
      <c r="G23" s="274"/>
      <c r="H23" s="274"/>
      <c r="I23" s="274"/>
      <c r="R23" s="169"/>
      <c r="S23" s="170"/>
      <c r="AB23" s="181"/>
    </row>
    <row r="24" spans="1:28" ht="165" x14ac:dyDescent="0.25">
      <c r="A24" s="179" t="s">
        <v>533</v>
      </c>
      <c r="B24" s="167" t="s">
        <v>348</v>
      </c>
      <c r="C24" s="180">
        <v>7955100.0599999996</v>
      </c>
      <c r="D24" s="180">
        <v>9873764.7799999993</v>
      </c>
      <c r="E24" s="180">
        <v>10321427.140000001</v>
      </c>
      <c r="G24" s="274"/>
      <c r="H24" s="274"/>
      <c r="I24" s="274"/>
      <c r="R24" s="169"/>
      <c r="S24" s="170"/>
      <c r="AB24" s="181"/>
    </row>
    <row r="25" spans="1:28" ht="150" x14ac:dyDescent="0.25">
      <c r="A25" s="179" t="s">
        <v>534</v>
      </c>
      <c r="B25" s="167" t="s">
        <v>349</v>
      </c>
      <c r="C25" s="180">
        <v>-953332.04</v>
      </c>
      <c r="D25" s="180">
        <v>-1178835.3600000001</v>
      </c>
      <c r="E25" s="180">
        <v>-1259112.22</v>
      </c>
      <c r="G25" s="274"/>
      <c r="H25" s="274"/>
      <c r="I25" s="274"/>
      <c r="R25" s="169"/>
      <c r="S25" s="170"/>
      <c r="AB25" s="181"/>
    </row>
    <row r="26" spans="1:28" ht="15.75" x14ac:dyDescent="0.25">
      <c r="A26" s="163" t="s">
        <v>322</v>
      </c>
      <c r="B26" s="164" t="s">
        <v>350</v>
      </c>
      <c r="C26" s="165">
        <f>C27+C30+C31</f>
        <v>206124100</v>
      </c>
      <c r="D26" s="165">
        <f>D27+D30+D31</f>
        <v>214385100</v>
      </c>
      <c r="E26" s="165">
        <f>E27+E30+E31</f>
        <v>222919100</v>
      </c>
    </row>
    <row r="27" spans="1:28" s="185" customFormat="1" ht="30" x14ac:dyDescent="0.25">
      <c r="A27" s="182" t="s">
        <v>351</v>
      </c>
      <c r="B27" s="183" t="s">
        <v>352</v>
      </c>
      <c r="C27" s="184">
        <f>SUM(C28:C29)</f>
        <v>195771000</v>
      </c>
      <c r="D27" s="184">
        <f>SUM(D28:D29)</f>
        <v>203600000</v>
      </c>
      <c r="E27" s="184">
        <f>SUM(E28:E29)</f>
        <v>211730000</v>
      </c>
      <c r="G27" s="186"/>
      <c r="H27" s="186"/>
      <c r="I27" s="186"/>
      <c r="R27" s="156"/>
      <c r="T27" s="186"/>
    </row>
    <row r="28" spans="1:28" ht="45" x14ac:dyDescent="0.25">
      <c r="A28" s="166" t="s">
        <v>353</v>
      </c>
      <c r="B28" s="167" t="s">
        <v>354</v>
      </c>
      <c r="C28" s="187">
        <v>117731000</v>
      </c>
      <c r="D28" s="187">
        <v>122440000</v>
      </c>
      <c r="E28" s="187">
        <v>127330000</v>
      </c>
      <c r="G28" s="188"/>
      <c r="H28" s="274"/>
      <c r="I28" s="274"/>
      <c r="J28" s="189"/>
    </row>
    <row r="29" spans="1:28" ht="88.5" customHeight="1" x14ac:dyDescent="0.25">
      <c r="A29" s="190" t="s">
        <v>355</v>
      </c>
      <c r="B29" s="190" t="s">
        <v>356</v>
      </c>
      <c r="C29" s="191">
        <v>78040000</v>
      </c>
      <c r="D29" s="191">
        <v>81160000</v>
      </c>
      <c r="E29" s="191">
        <v>84400000</v>
      </c>
      <c r="G29" s="275"/>
      <c r="H29" s="276"/>
      <c r="I29" s="276"/>
      <c r="J29" s="189"/>
    </row>
    <row r="30" spans="1:28" ht="30" x14ac:dyDescent="0.25">
      <c r="A30" s="166" t="s">
        <v>357</v>
      </c>
      <c r="B30" s="167" t="s">
        <v>358</v>
      </c>
      <c r="C30" s="184">
        <v>1156100</v>
      </c>
      <c r="D30" s="184">
        <v>1156100</v>
      </c>
      <c r="E30" s="184">
        <v>1156100</v>
      </c>
      <c r="G30" s="188"/>
      <c r="H30" s="188"/>
      <c r="I30" s="188"/>
      <c r="J30" s="189"/>
    </row>
    <row r="31" spans="1:28" ht="75" x14ac:dyDescent="0.25">
      <c r="A31" s="166" t="s">
        <v>359</v>
      </c>
      <c r="B31" s="167" t="s">
        <v>360</v>
      </c>
      <c r="C31" s="184">
        <v>9197000</v>
      </c>
      <c r="D31" s="184">
        <v>9629000</v>
      </c>
      <c r="E31" s="184">
        <v>10033000</v>
      </c>
    </row>
    <row r="32" spans="1:28" ht="15.75" x14ac:dyDescent="0.25">
      <c r="A32" s="173" t="s">
        <v>361</v>
      </c>
      <c r="B32" s="174" t="s">
        <v>362</v>
      </c>
      <c r="C32" s="165">
        <f>C33+C34</f>
        <v>205000</v>
      </c>
      <c r="D32" s="165">
        <f>D33+D34</f>
        <v>205000</v>
      </c>
      <c r="E32" s="165">
        <f>E33+E34</f>
        <v>205000</v>
      </c>
    </row>
    <row r="33" spans="1:6" ht="60" x14ac:dyDescent="0.25">
      <c r="A33" s="192" t="s">
        <v>363</v>
      </c>
      <c r="B33" s="167" t="s">
        <v>364</v>
      </c>
      <c r="C33" s="184">
        <v>143000</v>
      </c>
      <c r="D33" s="184">
        <v>143000</v>
      </c>
      <c r="E33" s="184">
        <v>143000</v>
      </c>
    </row>
    <row r="34" spans="1:6" ht="60" x14ac:dyDescent="0.25">
      <c r="A34" s="192" t="s">
        <v>365</v>
      </c>
      <c r="B34" s="167" t="s">
        <v>366</v>
      </c>
      <c r="C34" s="184">
        <v>62000</v>
      </c>
      <c r="D34" s="184">
        <v>62000</v>
      </c>
      <c r="E34" s="184">
        <v>62000</v>
      </c>
    </row>
    <row r="35" spans="1:6" ht="31.5" x14ac:dyDescent="0.25">
      <c r="A35" s="163" t="s">
        <v>367</v>
      </c>
      <c r="B35" s="164" t="s">
        <v>368</v>
      </c>
      <c r="C35" s="165">
        <f>C36</f>
        <v>71030000</v>
      </c>
      <c r="D35" s="165">
        <f>D36</f>
        <v>69189000</v>
      </c>
      <c r="E35" s="165">
        <f>E36</f>
        <v>77269000</v>
      </c>
    </row>
    <row r="36" spans="1:6" ht="45" x14ac:dyDescent="0.25">
      <c r="A36" s="166" t="s">
        <v>369</v>
      </c>
      <c r="B36" s="167" t="s">
        <v>323</v>
      </c>
      <c r="C36" s="184">
        <v>71030000</v>
      </c>
      <c r="D36" s="184">
        <v>69189000</v>
      </c>
      <c r="E36" s="184">
        <v>77269000</v>
      </c>
    </row>
    <row r="37" spans="1:6" ht="15.75" x14ac:dyDescent="0.25">
      <c r="A37" s="163" t="s">
        <v>370</v>
      </c>
      <c r="B37" s="164" t="s">
        <v>371</v>
      </c>
      <c r="C37" s="165">
        <f>C38+C39</f>
        <v>8415000</v>
      </c>
      <c r="D37" s="165">
        <f>D38+D39</f>
        <v>8615000</v>
      </c>
      <c r="E37" s="165">
        <f>E38+E39</f>
        <v>8815000</v>
      </c>
    </row>
    <row r="38" spans="1:6" ht="90" x14ac:dyDescent="0.25">
      <c r="A38" s="166" t="s">
        <v>372</v>
      </c>
      <c r="B38" s="167" t="s">
        <v>373</v>
      </c>
      <c r="C38" s="184">
        <v>8400000</v>
      </c>
      <c r="D38" s="184">
        <v>8600000</v>
      </c>
      <c r="E38" s="184">
        <v>8800000</v>
      </c>
    </row>
    <row r="39" spans="1:6" ht="60" x14ac:dyDescent="0.25">
      <c r="A39" s="166" t="s">
        <v>374</v>
      </c>
      <c r="B39" s="167" t="s">
        <v>375</v>
      </c>
      <c r="C39" s="184">
        <v>15000</v>
      </c>
      <c r="D39" s="184">
        <v>15000</v>
      </c>
      <c r="E39" s="184">
        <v>15000</v>
      </c>
    </row>
    <row r="40" spans="1:6" ht="63" x14ac:dyDescent="0.25">
      <c r="A40" s="163" t="s">
        <v>376</v>
      </c>
      <c r="B40" s="164" t="s">
        <v>377</v>
      </c>
      <c r="C40" s="165">
        <f>C41+C43+C49+C42</f>
        <v>351396867.46999997</v>
      </c>
      <c r="D40" s="165">
        <f>D41+D43+D49+D42</f>
        <v>220892700</v>
      </c>
      <c r="E40" s="165">
        <f>E41+E43+E49+E42</f>
        <v>220892700</v>
      </c>
      <c r="F40" s="157"/>
    </row>
    <row r="41" spans="1:6" ht="75" x14ac:dyDescent="0.25">
      <c r="A41" s="166" t="s">
        <v>378</v>
      </c>
      <c r="B41" s="167" t="s">
        <v>379</v>
      </c>
      <c r="C41" s="184">
        <f>185600000+40867096.73+58747946.16+8687811.33+20360085.62</f>
        <v>314262939.83999997</v>
      </c>
      <c r="D41" s="184">
        <v>185600000</v>
      </c>
      <c r="E41" s="184">
        <v>185600000</v>
      </c>
    </row>
    <row r="42" spans="1:6" ht="45" x14ac:dyDescent="0.25">
      <c r="A42" s="166" t="s">
        <v>546</v>
      </c>
      <c r="B42" s="167" t="s">
        <v>324</v>
      </c>
      <c r="C42" s="184">
        <f>1753125.23+88102.4</f>
        <v>1841227.63</v>
      </c>
      <c r="D42" s="184">
        <v>0</v>
      </c>
      <c r="E42" s="184">
        <v>0</v>
      </c>
    </row>
    <row r="43" spans="1:6" ht="126" x14ac:dyDescent="0.25">
      <c r="A43" s="163" t="s">
        <v>380</v>
      </c>
      <c r="B43" s="164" t="s">
        <v>381</v>
      </c>
      <c r="C43" s="165">
        <f>C44+C45+C46+C48+C47</f>
        <v>35267700</v>
      </c>
      <c r="D43" s="165">
        <f>D44+D45+D46+D48+D47</f>
        <v>35267700</v>
      </c>
      <c r="E43" s="165">
        <f>E44+E45+E46+E48+E47</f>
        <v>35267700</v>
      </c>
    </row>
    <row r="44" spans="1:6" ht="116.25" customHeight="1" x14ac:dyDescent="0.25">
      <c r="A44" s="166" t="s">
        <v>382</v>
      </c>
      <c r="B44" s="167" t="s">
        <v>325</v>
      </c>
      <c r="C44" s="184">
        <v>8869300</v>
      </c>
      <c r="D44" s="184">
        <v>8869300</v>
      </c>
      <c r="E44" s="184">
        <v>8869300</v>
      </c>
    </row>
    <row r="45" spans="1:6" ht="105" x14ac:dyDescent="0.25">
      <c r="A45" s="166" t="s">
        <v>326</v>
      </c>
      <c r="B45" s="167" t="s">
        <v>383</v>
      </c>
      <c r="C45" s="184">
        <v>21708400</v>
      </c>
      <c r="D45" s="184">
        <v>21708400</v>
      </c>
      <c r="E45" s="184">
        <v>21708400</v>
      </c>
    </row>
    <row r="46" spans="1:6" ht="92.25" customHeight="1" x14ac:dyDescent="0.25">
      <c r="A46" s="166" t="s">
        <v>384</v>
      </c>
      <c r="B46" s="167" t="s">
        <v>385</v>
      </c>
      <c r="C46" s="184">
        <v>1100000</v>
      </c>
      <c r="D46" s="184">
        <v>1100000</v>
      </c>
      <c r="E46" s="184">
        <v>1100000</v>
      </c>
    </row>
    <row r="47" spans="1:6" ht="75" x14ac:dyDescent="0.25">
      <c r="A47" s="166" t="s">
        <v>386</v>
      </c>
      <c r="B47" s="167" t="s">
        <v>327</v>
      </c>
      <c r="C47" s="184">
        <v>190000</v>
      </c>
      <c r="D47" s="184">
        <v>190000</v>
      </c>
      <c r="E47" s="184">
        <v>190000</v>
      </c>
    </row>
    <row r="48" spans="1:6" ht="60" x14ac:dyDescent="0.25">
      <c r="A48" s="166" t="s">
        <v>387</v>
      </c>
      <c r="B48" s="167" t="s">
        <v>388</v>
      </c>
      <c r="C48" s="184">
        <v>3400000</v>
      </c>
      <c r="D48" s="184">
        <v>3400000</v>
      </c>
      <c r="E48" s="184">
        <v>3400000</v>
      </c>
    </row>
    <row r="49" spans="1:20" ht="90" x14ac:dyDescent="0.25">
      <c r="A49" s="171" t="s">
        <v>389</v>
      </c>
      <c r="B49" s="167" t="s">
        <v>390</v>
      </c>
      <c r="C49" s="184">
        <v>25000</v>
      </c>
      <c r="D49" s="184">
        <v>25000</v>
      </c>
      <c r="E49" s="184">
        <v>25000</v>
      </c>
    </row>
    <row r="50" spans="1:20" ht="31.5" x14ac:dyDescent="0.25">
      <c r="A50" s="163" t="s">
        <v>391</v>
      </c>
      <c r="B50" s="164" t="s">
        <v>392</v>
      </c>
      <c r="C50" s="165">
        <f>SUM(C51:C55)</f>
        <v>30654124.240000002</v>
      </c>
      <c r="D50" s="165">
        <f>SUM(D51:D55)</f>
        <v>31880289.210000001</v>
      </c>
      <c r="E50" s="165">
        <f>SUM(E51:E55)</f>
        <v>33155500.780000001</v>
      </c>
      <c r="G50" s="188"/>
      <c r="H50" s="188"/>
      <c r="I50" s="188"/>
      <c r="J50" s="189"/>
      <c r="T50" s="193"/>
    </row>
    <row r="51" spans="1:20" ht="45" x14ac:dyDescent="0.25">
      <c r="A51" s="166" t="s">
        <v>393</v>
      </c>
      <c r="B51" s="167" t="s">
        <v>394</v>
      </c>
      <c r="C51" s="168">
        <v>2038408.41</v>
      </c>
      <c r="D51" s="168">
        <v>2119944.7400000002</v>
      </c>
      <c r="E51" s="168">
        <v>2204742.5299999998</v>
      </c>
      <c r="G51" s="194"/>
      <c r="H51" s="194"/>
      <c r="I51" s="194"/>
      <c r="J51" s="189"/>
      <c r="T51" s="193"/>
    </row>
    <row r="52" spans="1:20" ht="45" x14ac:dyDescent="0.25">
      <c r="A52" s="166" t="s">
        <v>395</v>
      </c>
      <c r="B52" s="167" t="s">
        <v>396</v>
      </c>
      <c r="C52" s="168">
        <v>26942.28</v>
      </c>
      <c r="D52" s="168">
        <v>28019.97</v>
      </c>
      <c r="E52" s="168">
        <v>29140.77</v>
      </c>
      <c r="G52" s="194"/>
      <c r="H52" s="194"/>
      <c r="I52" s="194"/>
      <c r="J52" s="189"/>
      <c r="T52" s="193"/>
    </row>
    <row r="53" spans="1:20" ht="37.5" customHeight="1" x14ac:dyDescent="0.25">
      <c r="A53" s="166" t="s">
        <v>397</v>
      </c>
      <c r="B53" s="167" t="s">
        <v>328</v>
      </c>
      <c r="C53" s="168">
        <v>19306954.25</v>
      </c>
      <c r="D53" s="168">
        <v>20079232.420000002</v>
      </c>
      <c r="E53" s="168">
        <v>20882401.710000001</v>
      </c>
      <c r="G53" s="194"/>
      <c r="H53" s="194"/>
      <c r="I53" s="194"/>
      <c r="J53" s="189"/>
      <c r="T53" s="193"/>
    </row>
    <row r="54" spans="1:20" ht="24" customHeight="1" x14ac:dyDescent="0.25">
      <c r="A54" s="166" t="s">
        <v>398</v>
      </c>
      <c r="B54" s="167" t="s">
        <v>329</v>
      </c>
      <c r="C54" s="168">
        <v>160018.76</v>
      </c>
      <c r="D54" s="168">
        <v>166419.51999999999</v>
      </c>
      <c r="E54" s="168">
        <v>173076.3</v>
      </c>
      <c r="G54" s="188"/>
      <c r="H54" s="188"/>
      <c r="I54" s="188"/>
      <c r="J54" s="189"/>
      <c r="T54" s="193"/>
    </row>
    <row r="55" spans="1:20" ht="45" x14ac:dyDescent="0.25">
      <c r="A55" s="166" t="s">
        <v>399</v>
      </c>
      <c r="B55" s="195" t="s">
        <v>330</v>
      </c>
      <c r="C55" s="168">
        <v>9121800.5399999991</v>
      </c>
      <c r="D55" s="168">
        <v>9486672.5600000005</v>
      </c>
      <c r="E55" s="168">
        <v>9866139.4700000007</v>
      </c>
      <c r="G55" s="194"/>
      <c r="H55" s="194"/>
      <c r="I55" s="194"/>
      <c r="J55" s="189"/>
      <c r="T55" s="193"/>
    </row>
    <row r="56" spans="1:20" ht="47.25" x14ac:dyDescent="0.25">
      <c r="A56" s="163" t="s">
        <v>400</v>
      </c>
      <c r="B56" s="164" t="s">
        <v>401</v>
      </c>
      <c r="C56" s="165">
        <f>C57+C80</f>
        <v>57720336.450000003</v>
      </c>
      <c r="D56" s="165">
        <f t="shared" ref="D56:E56" si="0">D57+D80</f>
        <v>57481452</v>
      </c>
      <c r="E56" s="165">
        <f t="shared" si="0"/>
        <v>57481452</v>
      </c>
      <c r="G56" s="188"/>
      <c r="H56" s="188"/>
      <c r="I56" s="188"/>
      <c r="J56" s="189"/>
      <c r="T56" s="193"/>
    </row>
    <row r="57" spans="1:20" ht="31.5" x14ac:dyDescent="0.25">
      <c r="A57" s="163" t="s">
        <v>402</v>
      </c>
      <c r="B57" s="164" t="s">
        <v>403</v>
      </c>
      <c r="C57" s="165">
        <f>SUM(C58:C79)</f>
        <v>57481452</v>
      </c>
      <c r="D57" s="165">
        <f>SUM(D58:D79)</f>
        <v>57481452</v>
      </c>
      <c r="E57" s="165">
        <f>SUM(E58:E79)</f>
        <v>57481452</v>
      </c>
      <c r="T57" s="193"/>
    </row>
    <row r="58" spans="1:20" ht="60" x14ac:dyDescent="0.25">
      <c r="A58" s="166" t="s">
        <v>404</v>
      </c>
      <c r="B58" s="196" t="s">
        <v>405</v>
      </c>
      <c r="C58" s="184">
        <v>122400</v>
      </c>
      <c r="D58" s="184">
        <v>122400</v>
      </c>
      <c r="E58" s="184">
        <v>122400</v>
      </c>
      <c r="T58" s="193"/>
    </row>
    <row r="59" spans="1:20" ht="45" x14ac:dyDescent="0.25">
      <c r="A59" s="166" t="s">
        <v>406</v>
      </c>
      <c r="B59" s="196" t="s">
        <v>407</v>
      </c>
      <c r="C59" s="184">
        <v>79200</v>
      </c>
      <c r="D59" s="184">
        <v>79200</v>
      </c>
      <c r="E59" s="184">
        <v>79200</v>
      </c>
      <c r="T59" s="193"/>
    </row>
    <row r="60" spans="1:20" ht="45" x14ac:dyDescent="0.25">
      <c r="A60" s="166" t="s">
        <v>408</v>
      </c>
      <c r="B60" s="167" t="s">
        <v>409</v>
      </c>
      <c r="C60" s="184">
        <v>3855360</v>
      </c>
      <c r="D60" s="184">
        <v>3855360</v>
      </c>
      <c r="E60" s="184">
        <v>3855360</v>
      </c>
      <c r="T60" s="193"/>
    </row>
    <row r="61" spans="1:20" ht="45" x14ac:dyDescent="0.25">
      <c r="A61" s="166" t="s">
        <v>410</v>
      </c>
      <c r="B61" s="197" t="s">
        <v>411</v>
      </c>
      <c r="C61" s="184">
        <v>16300000</v>
      </c>
      <c r="D61" s="184">
        <v>16300000</v>
      </c>
      <c r="E61" s="184">
        <v>16300000</v>
      </c>
      <c r="T61" s="193"/>
    </row>
    <row r="62" spans="1:20" ht="45" x14ac:dyDescent="0.25">
      <c r="A62" s="166" t="s">
        <v>412</v>
      </c>
      <c r="B62" s="196" t="s">
        <v>413</v>
      </c>
      <c r="C62" s="184">
        <v>43200</v>
      </c>
      <c r="D62" s="184">
        <v>43200</v>
      </c>
      <c r="E62" s="184">
        <v>43200</v>
      </c>
      <c r="T62" s="193"/>
    </row>
    <row r="63" spans="1:20" ht="60" x14ac:dyDescent="0.25">
      <c r="A63" s="166" t="s">
        <v>414</v>
      </c>
      <c r="B63" s="196" t="s">
        <v>415</v>
      </c>
      <c r="C63" s="184">
        <v>43200</v>
      </c>
      <c r="D63" s="184">
        <v>43200</v>
      </c>
      <c r="E63" s="184">
        <v>43200</v>
      </c>
      <c r="T63" s="193"/>
    </row>
    <row r="64" spans="1:20" ht="45" x14ac:dyDescent="0.25">
      <c r="A64" s="166" t="s">
        <v>416</v>
      </c>
      <c r="B64" s="167" t="s">
        <v>417</v>
      </c>
      <c r="C64" s="184">
        <v>3630080</v>
      </c>
      <c r="D64" s="184">
        <v>3630080</v>
      </c>
      <c r="E64" s="184">
        <v>3630080</v>
      </c>
      <c r="T64" s="193"/>
    </row>
    <row r="65" spans="1:20" ht="60" x14ac:dyDescent="0.25">
      <c r="A65" s="166" t="s">
        <v>418</v>
      </c>
      <c r="B65" s="167" t="s">
        <v>419</v>
      </c>
      <c r="C65" s="184">
        <v>158400</v>
      </c>
      <c r="D65" s="184">
        <v>158400</v>
      </c>
      <c r="E65" s="184">
        <v>158400</v>
      </c>
      <c r="T65" s="193"/>
    </row>
    <row r="66" spans="1:20" ht="60" x14ac:dyDescent="0.25">
      <c r="A66" s="166" t="s">
        <v>420</v>
      </c>
      <c r="B66" s="167" t="s">
        <v>421</v>
      </c>
      <c r="C66" s="184">
        <v>129600</v>
      </c>
      <c r="D66" s="184">
        <v>129600</v>
      </c>
      <c r="E66" s="184">
        <v>129600</v>
      </c>
      <c r="T66" s="193"/>
    </row>
    <row r="67" spans="1:20" ht="60" x14ac:dyDescent="0.25">
      <c r="A67" s="166" t="s">
        <v>422</v>
      </c>
      <c r="B67" s="167" t="s">
        <v>423</v>
      </c>
      <c r="C67" s="184">
        <v>115200</v>
      </c>
      <c r="D67" s="184">
        <v>115200</v>
      </c>
      <c r="E67" s="184">
        <v>115200</v>
      </c>
      <c r="T67" s="193"/>
    </row>
    <row r="68" spans="1:20" ht="45" x14ac:dyDescent="0.25">
      <c r="A68" s="166" t="s">
        <v>424</v>
      </c>
      <c r="B68" s="167" t="s">
        <v>425</v>
      </c>
      <c r="C68" s="184">
        <v>416332</v>
      </c>
      <c r="D68" s="184">
        <v>416332</v>
      </c>
      <c r="E68" s="184">
        <v>416332</v>
      </c>
      <c r="T68" s="193"/>
    </row>
    <row r="69" spans="1:20" ht="45" x14ac:dyDescent="0.25">
      <c r="A69" s="166" t="s">
        <v>426</v>
      </c>
      <c r="B69" s="167" t="s">
        <v>427</v>
      </c>
      <c r="C69" s="184">
        <v>4108800</v>
      </c>
      <c r="D69" s="184">
        <v>4108800</v>
      </c>
      <c r="E69" s="184">
        <v>4108800</v>
      </c>
      <c r="T69" s="193"/>
    </row>
    <row r="70" spans="1:20" ht="45" x14ac:dyDescent="0.25">
      <c r="A70" s="166" t="s">
        <v>428</v>
      </c>
      <c r="B70" s="167" t="s">
        <v>429</v>
      </c>
      <c r="C70" s="184">
        <v>3366400</v>
      </c>
      <c r="D70" s="184">
        <v>3366400</v>
      </c>
      <c r="E70" s="184">
        <v>3366400</v>
      </c>
      <c r="T70" s="193"/>
    </row>
    <row r="71" spans="1:20" ht="45" x14ac:dyDescent="0.25">
      <c r="A71" s="166" t="s">
        <v>430</v>
      </c>
      <c r="B71" s="167" t="s">
        <v>431</v>
      </c>
      <c r="C71" s="184">
        <v>977920</v>
      </c>
      <c r="D71" s="184">
        <v>977920</v>
      </c>
      <c r="E71" s="184">
        <v>977920</v>
      </c>
      <c r="T71" s="193"/>
    </row>
    <row r="72" spans="1:20" ht="60" x14ac:dyDescent="0.25">
      <c r="A72" s="166" t="s">
        <v>432</v>
      </c>
      <c r="B72" s="167" t="s">
        <v>433</v>
      </c>
      <c r="C72" s="184">
        <v>349440</v>
      </c>
      <c r="D72" s="184">
        <v>349440</v>
      </c>
      <c r="E72" s="184">
        <v>349440</v>
      </c>
      <c r="T72" s="193"/>
    </row>
    <row r="73" spans="1:20" ht="45" x14ac:dyDescent="0.25">
      <c r="A73" s="166" t="s">
        <v>434</v>
      </c>
      <c r="B73" s="167" t="s">
        <v>435</v>
      </c>
      <c r="C73" s="184">
        <v>5384960</v>
      </c>
      <c r="D73" s="184">
        <v>5384960</v>
      </c>
      <c r="E73" s="184">
        <v>5384960</v>
      </c>
      <c r="T73" s="193"/>
    </row>
    <row r="74" spans="1:20" ht="45" x14ac:dyDescent="0.25">
      <c r="A74" s="166" t="s">
        <v>436</v>
      </c>
      <c r="B74" s="167" t="s">
        <v>437</v>
      </c>
      <c r="C74" s="184">
        <v>1401600</v>
      </c>
      <c r="D74" s="184">
        <v>1401600</v>
      </c>
      <c r="E74" s="184">
        <v>1401600</v>
      </c>
      <c r="T74" s="193"/>
    </row>
    <row r="75" spans="1:20" ht="45" x14ac:dyDescent="0.25">
      <c r="A75" s="166" t="s">
        <v>438</v>
      </c>
      <c r="B75" s="167" t="s">
        <v>439</v>
      </c>
      <c r="C75" s="184">
        <v>4102400</v>
      </c>
      <c r="D75" s="184">
        <v>4102400</v>
      </c>
      <c r="E75" s="184">
        <v>4102400</v>
      </c>
      <c r="T75" s="193"/>
    </row>
    <row r="76" spans="1:20" ht="45" x14ac:dyDescent="0.25">
      <c r="A76" s="166" t="s">
        <v>440</v>
      </c>
      <c r="B76" s="167" t="s">
        <v>441</v>
      </c>
      <c r="C76" s="184">
        <v>4944640</v>
      </c>
      <c r="D76" s="184">
        <v>4944640</v>
      </c>
      <c r="E76" s="184">
        <v>4944640</v>
      </c>
      <c r="T76" s="193"/>
    </row>
    <row r="77" spans="1:20" ht="60" x14ac:dyDescent="0.25">
      <c r="A77" s="166" t="s">
        <v>442</v>
      </c>
      <c r="B77" s="167" t="s">
        <v>443</v>
      </c>
      <c r="C77" s="184">
        <v>431040</v>
      </c>
      <c r="D77" s="184">
        <v>431040</v>
      </c>
      <c r="E77" s="184">
        <v>431040</v>
      </c>
      <c r="T77" s="193"/>
    </row>
    <row r="78" spans="1:20" ht="45" x14ac:dyDescent="0.25">
      <c r="A78" s="166" t="s">
        <v>444</v>
      </c>
      <c r="B78" s="167" t="s">
        <v>445</v>
      </c>
      <c r="C78" s="184">
        <v>3333120</v>
      </c>
      <c r="D78" s="184">
        <v>3333120</v>
      </c>
      <c r="E78" s="184">
        <v>3333120</v>
      </c>
      <c r="T78" s="193"/>
    </row>
    <row r="79" spans="1:20" ht="45" x14ac:dyDescent="0.25">
      <c r="A79" s="166" t="s">
        <v>446</v>
      </c>
      <c r="B79" s="167" t="s">
        <v>447</v>
      </c>
      <c r="C79" s="184">
        <v>4188160</v>
      </c>
      <c r="D79" s="184">
        <v>4188160</v>
      </c>
      <c r="E79" s="184">
        <v>4188160</v>
      </c>
      <c r="T79" s="193"/>
    </row>
    <row r="80" spans="1:20" ht="30" x14ac:dyDescent="0.25">
      <c r="A80" s="166" t="s">
        <v>688</v>
      </c>
      <c r="B80" s="167" t="s">
        <v>687</v>
      </c>
      <c r="C80" s="184">
        <v>238884.45</v>
      </c>
      <c r="D80" s="184">
        <v>0</v>
      </c>
      <c r="E80" s="184">
        <v>0</v>
      </c>
      <c r="T80" s="193"/>
    </row>
    <row r="81" spans="1:20" ht="47.25" x14ac:dyDescent="0.25">
      <c r="A81" s="163" t="s">
        <v>448</v>
      </c>
      <c r="B81" s="164" t="s">
        <v>449</v>
      </c>
      <c r="C81" s="165">
        <f>C82+C84</f>
        <v>4315000</v>
      </c>
      <c r="D81" s="165">
        <f>D82+D84</f>
        <v>4315000</v>
      </c>
      <c r="E81" s="165">
        <f>E82+E84</f>
        <v>4315000</v>
      </c>
    </row>
    <row r="82" spans="1:20" ht="126" x14ac:dyDescent="0.25">
      <c r="A82" s="163" t="s">
        <v>450</v>
      </c>
      <c r="B82" s="164" t="s">
        <v>451</v>
      </c>
      <c r="C82" s="165">
        <f>C83</f>
        <v>1655000</v>
      </c>
      <c r="D82" s="165">
        <f>D83</f>
        <v>1655000</v>
      </c>
      <c r="E82" s="165">
        <f>E83</f>
        <v>1655000</v>
      </c>
    </row>
    <row r="83" spans="1:20" ht="120.75" customHeight="1" x14ac:dyDescent="0.25">
      <c r="A83" s="198" t="s">
        <v>452</v>
      </c>
      <c r="B83" s="199" t="s">
        <v>453</v>
      </c>
      <c r="C83" s="184">
        <v>1655000</v>
      </c>
      <c r="D83" s="184">
        <v>1655000</v>
      </c>
      <c r="E83" s="184">
        <v>1655000</v>
      </c>
    </row>
    <row r="84" spans="1:20" ht="63" x14ac:dyDescent="0.25">
      <c r="A84" s="173" t="s">
        <v>454</v>
      </c>
      <c r="B84" s="164" t="s">
        <v>455</v>
      </c>
      <c r="C84" s="165">
        <f>C85+C86+C87</f>
        <v>2660000</v>
      </c>
      <c r="D84" s="165">
        <f>D85+D86+D87</f>
        <v>2660000</v>
      </c>
      <c r="E84" s="165">
        <f>E85+E86+E87</f>
        <v>2660000</v>
      </c>
    </row>
    <row r="85" spans="1:20" ht="80.25" customHeight="1" x14ac:dyDescent="0.25">
      <c r="A85" s="166" t="s">
        <v>456</v>
      </c>
      <c r="B85" s="167" t="s">
        <v>457</v>
      </c>
      <c r="C85" s="184">
        <v>150000</v>
      </c>
      <c r="D85" s="184">
        <v>150000</v>
      </c>
      <c r="E85" s="184">
        <v>150000</v>
      </c>
    </row>
    <row r="86" spans="1:20" ht="75" x14ac:dyDescent="0.25">
      <c r="A86" s="166" t="s">
        <v>331</v>
      </c>
      <c r="B86" s="167" t="s">
        <v>458</v>
      </c>
      <c r="C86" s="184">
        <v>2410000</v>
      </c>
      <c r="D86" s="184">
        <v>2410000</v>
      </c>
      <c r="E86" s="184">
        <v>2410000</v>
      </c>
    </row>
    <row r="87" spans="1:20" ht="60" x14ac:dyDescent="0.25">
      <c r="A87" s="166" t="s">
        <v>459</v>
      </c>
      <c r="B87" s="167" t="s">
        <v>460</v>
      </c>
      <c r="C87" s="184">
        <v>100000</v>
      </c>
      <c r="D87" s="184">
        <v>100000</v>
      </c>
      <c r="E87" s="184">
        <v>100000</v>
      </c>
    </row>
    <row r="88" spans="1:20" ht="15.75" x14ac:dyDescent="0.25">
      <c r="A88" s="173" t="s">
        <v>461</v>
      </c>
      <c r="B88" s="174" t="s">
        <v>462</v>
      </c>
      <c r="C88" s="184">
        <f>C89</f>
        <v>50000000</v>
      </c>
      <c r="D88" s="184">
        <f>D89</f>
        <v>0</v>
      </c>
      <c r="E88" s="184">
        <f>E89</f>
        <v>0</v>
      </c>
    </row>
    <row r="89" spans="1:20" ht="75" x14ac:dyDescent="0.25">
      <c r="A89" s="200" t="s">
        <v>463</v>
      </c>
      <c r="B89" s="167" t="s">
        <v>464</v>
      </c>
      <c r="C89" s="184">
        <v>50000000</v>
      </c>
      <c r="D89" s="184">
        <v>0</v>
      </c>
      <c r="E89" s="184">
        <v>0</v>
      </c>
    </row>
    <row r="90" spans="1:20" ht="15.75" x14ac:dyDescent="0.25">
      <c r="A90" s="166"/>
      <c r="B90" s="201" t="s">
        <v>465</v>
      </c>
      <c r="C90" s="165">
        <f>C81+C56+C50+C32+C40+C37+C35+C26+C15+C21+C88</f>
        <v>3304470845.25</v>
      </c>
      <c r="D90" s="165">
        <f>D81+D56+D50+D32+D40+D37+D35+D26+D15+D21+D88</f>
        <v>3302091555.2800002</v>
      </c>
      <c r="E90" s="165">
        <f>E81+E56+E50+E32+E40+E37+E35+E26+E15+E21+E88</f>
        <v>3497477834.9299998</v>
      </c>
      <c r="J90" s="157"/>
    </row>
    <row r="91" spans="1:20" ht="15.75" customHeight="1" x14ac:dyDescent="0.25">
      <c r="A91" s="202" t="s">
        <v>466</v>
      </c>
      <c r="B91" s="164" t="s">
        <v>467</v>
      </c>
      <c r="C91" s="165">
        <f>C92+C121+C123+C124+C125+C126</f>
        <v>1944538177.3800001</v>
      </c>
      <c r="D91" s="165">
        <f t="shared" ref="D91:E91" si="1">D92+D121+D123+D124+D125+D126</f>
        <v>1625635258.0999999</v>
      </c>
      <c r="E91" s="165">
        <f t="shared" si="1"/>
        <v>1641698509.0999999</v>
      </c>
    </row>
    <row r="92" spans="1:20" ht="47.25" customHeight="1" x14ac:dyDescent="0.25">
      <c r="A92" s="202" t="s">
        <v>468</v>
      </c>
      <c r="B92" s="164" t="s">
        <v>469</v>
      </c>
      <c r="C92" s="165">
        <f>C93+C95+C103+C118</f>
        <v>1932937051.0999999</v>
      </c>
      <c r="D92" s="165">
        <f>D93+D95+D103+D118</f>
        <v>1625635258.0999999</v>
      </c>
      <c r="E92" s="165">
        <f>E93+E95+E103+E118</f>
        <v>1641698509.0999999</v>
      </c>
    </row>
    <row r="93" spans="1:20" ht="31.5" customHeight="1" x14ac:dyDescent="0.25">
      <c r="A93" s="202" t="s">
        <v>470</v>
      </c>
      <c r="B93" s="164" t="s">
        <v>471</v>
      </c>
      <c r="C93" s="165">
        <f>C94</f>
        <v>13653600</v>
      </c>
      <c r="D93" s="165">
        <f>D94</f>
        <v>0</v>
      </c>
      <c r="E93" s="165">
        <f>E94</f>
        <v>0</v>
      </c>
    </row>
    <row r="94" spans="1:20" s="185" customFormat="1" ht="30" customHeight="1" x14ac:dyDescent="0.25">
      <c r="A94" s="203" t="s">
        <v>472</v>
      </c>
      <c r="B94" s="183" t="s">
        <v>473</v>
      </c>
      <c r="C94" s="104">
        <v>13653600</v>
      </c>
      <c r="D94" s="104"/>
      <c r="E94" s="103"/>
      <c r="G94" s="186"/>
      <c r="H94" s="186"/>
      <c r="I94" s="186"/>
      <c r="R94" s="156"/>
      <c r="T94" s="186"/>
    </row>
    <row r="95" spans="1:20" s="175" customFormat="1" ht="31.5" customHeight="1" x14ac:dyDescent="0.25">
      <c r="A95" s="202" t="s">
        <v>474</v>
      </c>
      <c r="B95" s="164" t="s">
        <v>475</v>
      </c>
      <c r="C95" s="165">
        <f>SUM(C96:C102)</f>
        <v>54253682.889999993</v>
      </c>
      <c r="D95" s="165">
        <f>SUM(D96:D102)</f>
        <v>22916800</v>
      </c>
      <c r="E95" s="165">
        <f>SUM(E96:E102)</f>
        <v>22436011</v>
      </c>
      <c r="G95" s="178"/>
      <c r="H95" s="178"/>
      <c r="I95" s="178"/>
      <c r="R95" s="204"/>
      <c r="T95" s="178"/>
    </row>
    <row r="96" spans="1:20" s="185" customFormat="1" ht="75" x14ac:dyDescent="0.25">
      <c r="A96" s="205" t="s">
        <v>476</v>
      </c>
      <c r="B96" s="183" t="s">
        <v>477</v>
      </c>
      <c r="C96" s="184">
        <v>22916800</v>
      </c>
      <c r="D96" s="184">
        <v>22916800</v>
      </c>
      <c r="E96" s="184">
        <v>22436011</v>
      </c>
      <c r="G96" s="186"/>
      <c r="H96" s="186"/>
      <c r="I96" s="186"/>
      <c r="R96" s="156"/>
      <c r="T96" s="186"/>
    </row>
    <row r="97" spans="1:20" s="185" customFormat="1" ht="60" x14ac:dyDescent="0.25">
      <c r="A97" s="205" t="s">
        <v>478</v>
      </c>
      <c r="B97" s="183" t="s">
        <v>479</v>
      </c>
      <c r="C97" s="184">
        <v>10683479.02</v>
      </c>
      <c r="D97" s="184"/>
      <c r="E97" s="184"/>
      <c r="G97" s="186"/>
      <c r="H97" s="186"/>
      <c r="I97" s="186"/>
      <c r="R97" s="156"/>
      <c r="T97" s="186"/>
    </row>
    <row r="98" spans="1:20" s="185" customFormat="1" ht="30" hidden="1" x14ac:dyDescent="0.25">
      <c r="A98" s="205" t="s">
        <v>480</v>
      </c>
      <c r="B98" s="183" t="s">
        <v>481</v>
      </c>
      <c r="C98" s="184"/>
      <c r="D98" s="184"/>
      <c r="E98" s="184"/>
      <c r="G98" s="186"/>
      <c r="H98" s="186"/>
      <c r="I98" s="186"/>
      <c r="R98" s="156"/>
      <c r="T98" s="186"/>
    </row>
    <row r="99" spans="1:20" s="185" customFormat="1" ht="45" hidden="1" x14ac:dyDescent="0.25">
      <c r="A99" s="205" t="s">
        <v>482</v>
      </c>
      <c r="B99" s="206" t="s">
        <v>483</v>
      </c>
      <c r="C99" s="307"/>
      <c r="D99" s="184"/>
      <c r="E99" s="184"/>
      <c r="G99" s="186"/>
      <c r="H99" s="186"/>
      <c r="I99" s="186"/>
      <c r="R99" s="156"/>
      <c r="T99" s="186"/>
    </row>
    <row r="100" spans="1:20" s="185" customFormat="1" ht="45" customHeight="1" x14ac:dyDescent="0.25">
      <c r="A100" s="205" t="s">
        <v>484</v>
      </c>
      <c r="B100" s="207" t="s">
        <v>485</v>
      </c>
      <c r="C100" s="307">
        <v>4195804</v>
      </c>
      <c r="D100" s="184"/>
      <c r="E100" s="184"/>
      <c r="G100" s="186"/>
      <c r="H100" s="186"/>
      <c r="I100" s="186"/>
      <c r="R100" s="156"/>
      <c r="T100" s="186"/>
    </row>
    <row r="101" spans="1:20" s="185" customFormat="1" ht="60" customHeight="1" x14ac:dyDescent="0.25">
      <c r="A101" s="205" t="s">
        <v>486</v>
      </c>
      <c r="B101" s="208" t="s">
        <v>682</v>
      </c>
      <c r="C101" s="308">
        <v>16457599.869999999</v>
      </c>
      <c r="D101" s="184"/>
      <c r="E101" s="184"/>
      <c r="G101" s="299"/>
      <c r="H101" s="186"/>
      <c r="I101" s="186"/>
      <c r="R101" s="156"/>
      <c r="T101" s="186"/>
    </row>
    <row r="102" spans="1:20" s="185" customFormat="1" ht="45" hidden="1" customHeight="1" x14ac:dyDescent="0.25">
      <c r="A102" s="205" t="s">
        <v>487</v>
      </c>
      <c r="B102" s="207" t="s">
        <v>488</v>
      </c>
      <c r="C102" s="307"/>
      <c r="D102" s="184"/>
      <c r="E102" s="184"/>
      <c r="G102" s="186"/>
      <c r="H102" s="186"/>
      <c r="I102" s="186"/>
      <c r="R102" s="156"/>
      <c r="T102" s="186"/>
    </row>
    <row r="103" spans="1:20" s="209" customFormat="1" ht="31.5" x14ac:dyDescent="0.25">
      <c r="A103" s="202" t="s">
        <v>489</v>
      </c>
      <c r="B103" s="164" t="s">
        <v>490</v>
      </c>
      <c r="C103" s="165">
        <f>SUM(C104:C117)</f>
        <v>1849702106.9400001</v>
      </c>
      <c r="D103" s="165">
        <f>SUM(D104:D117)</f>
        <v>1593963512.0999999</v>
      </c>
      <c r="E103" s="165">
        <f>SUM(E104:E117)</f>
        <v>1609534612.0999999</v>
      </c>
      <c r="G103" s="277"/>
      <c r="H103" s="277"/>
      <c r="I103" s="277"/>
      <c r="J103" s="210"/>
      <c r="K103" s="210"/>
      <c r="R103" s="211"/>
      <c r="T103" s="212"/>
    </row>
    <row r="104" spans="1:20" ht="105" x14ac:dyDescent="0.25">
      <c r="A104" s="205" t="s">
        <v>491</v>
      </c>
      <c r="B104" s="213" t="s">
        <v>492</v>
      </c>
      <c r="C104" s="106">
        <v>761866332.90999997</v>
      </c>
      <c r="D104" s="54">
        <v>761866332.90999997</v>
      </c>
      <c r="E104" s="214">
        <v>761866332.90999997</v>
      </c>
      <c r="G104" s="188"/>
      <c r="H104" s="188"/>
      <c r="I104" s="188"/>
      <c r="J104" s="189"/>
      <c r="K104" s="189"/>
    </row>
    <row r="105" spans="1:20" ht="120" x14ac:dyDescent="0.25">
      <c r="A105" s="205" t="s">
        <v>493</v>
      </c>
      <c r="B105" s="207" t="s">
        <v>494</v>
      </c>
      <c r="C105" s="106">
        <v>65266411.490000002</v>
      </c>
      <c r="D105" s="54">
        <v>65266411.490000002</v>
      </c>
      <c r="E105" s="214">
        <v>65266411.490000002</v>
      </c>
      <c r="G105" s="188"/>
      <c r="H105" s="188"/>
      <c r="I105" s="188"/>
      <c r="J105" s="189"/>
      <c r="K105" s="189"/>
    </row>
    <row r="106" spans="1:20" ht="90" x14ac:dyDescent="0.25">
      <c r="A106" s="205" t="s">
        <v>495</v>
      </c>
      <c r="B106" s="207" t="s">
        <v>496</v>
      </c>
      <c r="C106" s="106">
        <v>16697968.6</v>
      </c>
      <c r="D106" s="106">
        <v>16611400</v>
      </c>
      <c r="E106" s="106">
        <v>16611400</v>
      </c>
      <c r="G106" s="188"/>
      <c r="H106" s="188"/>
      <c r="I106" s="188"/>
      <c r="J106" s="189"/>
      <c r="K106" s="189"/>
    </row>
    <row r="107" spans="1:20" ht="45" x14ac:dyDescent="0.25">
      <c r="A107" s="205" t="s">
        <v>497</v>
      </c>
      <c r="B107" s="207" t="s">
        <v>498</v>
      </c>
      <c r="C107" s="106">
        <v>312250870</v>
      </c>
      <c r="D107" s="106">
        <v>185751300</v>
      </c>
      <c r="E107" s="106">
        <v>201199400</v>
      </c>
      <c r="G107" s="188"/>
      <c r="H107" s="188"/>
      <c r="I107" s="188"/>
      <c r="J107" s="189"/>
      <c r="K107" s="189"/>
    </row>
    <row r="108" spans="1:20" ht="60" x14ac:dyDescent="0.25">
      <c r="A108" s="205" t="s">
        <v>499</v>
      </c>
      <c r="B108" s="207" t="s">
        <v>500</v>
      </c>
      <c r="C108" s="106">
        <v>403206556.18000001</v>
      </c>
      <c r="D108" s="54">
        <v>403206556.18000001</v>
      </c>
      <c r="E108" s="54">
        <v>403206556.18000001</v>
      </c>
      <c r="G108" s="188"/>
      <c r="H108" s="188"/>
      <c r="I108" s="188"/>
      <c r="J108" s="189"/>
      <c r="K108" s="189"/>
    </row>
    <row r="109" spans="1:20" ht="90" x14ac:dyDescent="0.25">
      <c r="A109" s="205" t="s">
        <v>501</v>
      </c>
      <c r="B109" s="207" t="s">
        <v>674</v>
      </c>
      <c r="C109" s="106">
        <v>41899440</v>
      </c>
      <c r="D109" s="106">
        <v>45855379.189999998</v>
      </c>
      <c r="E109" s="106">
        <v>45855379.189999998</v>
      </c>
      <c r="G109" s="188"/>
      <c r="H109" s="188"/>
      <c r="I109" s="188"/>
      <c r="J109" s="189"/>
      <c r="K109" s="189"/>
    </row>
    <row r="110" spans="1:20" ht="45" x14ac:dyDescent="0.25">
      <c r="A110" s="205" t="s">
        <v>502</v>
      </c>
      <c r="B110" s="215" t="s">
        <v>503</v>
      </c>
      <c r="C110" s="106">
        <v>10179000</v>
      </c>
      <c r="D110" s="106"/>
      <c r="E110" s="106"/>
      <c r="G110" s="188"/>
      <c r="H110" s="188"/>
      <c r="I110" s="188"/>
      <c r="J110" s="189"/>
      <c r="K110" s="189"/>
    </row>
    <row r="111" spans="1:20" ht="60" x14ac:dyDescent="0.25">
      <c r="A111" s="205" t="s">
        <v>504</v>
      </c>
      <c r="B111" s="215" t="s">
        <v>505</v>
      </c>
      <c r="C111" s="307">
        <v>15283500</v>
      </c>
      <c r="D111" s="348">
        <v>0</v>
      </c>
      <c r="E111" s="214">
        <v>0</v>
      </c>
      <c r="G111" s="188"/>
      <c r="H111" s="188"/>
      <c r="I111" s="188"/>
      <c r="J111" s="189"/>
      <c r="K111" s="189"/>
    </row>
    <row r="112" spans="1:20" ht="60" x14ac:dyDescent="0.25">
      <c r="A112" s="205" t="s">
        <v>506</v>
      </c>
      <c r="B112" s="215" t="s">
        <v>507</v>
      </c>
      <c r="C112" s="307">
        <v>84977961.049999997</v>
      </c>
      <c r="D112" s="54">
        <v>20000000</v>
      </c>
      <c r="E112" s="214">
        <v>20000000</v>
      </c>
      <c r="G112" s="188"/>
      <c r="H112" s="188"/>
      <c r="I112" s="188"/>
      <c r="J112" s="189"/>
      <c r="K112" s="189"/>
    </row>
    <row r="113" spans="1:28" ht="135" x14ac:dyDescent="0.25">
      <c r="A113" s="205" t="s">
        <v>508</v>
      </c>
      <c r="B113" s="215" t="s">
        <v>509</v>
      </c>
      <c r="C113" s="106">
        <v>6983928</v>
      </c>
      <c r="D113" s="54">
        <v>0</v>
      </c>
      <c r="E113" s="214">
        <v>0</v>
      </c>
      <c r="G113" s="188"/>
      <c r="H113" s="188"/>
      <c r="I113" s="188"/>
      <c r="J113" s="189"/>
      <c r="K113" s="189"/>
    </row>
    <row r="114" spans="1:28" s="157" customFormat="1" ht="75" x14ac:dyDescent="0.25">
      <c r="A114" s="205" t="s">
        <v>510</v>
      </c>
      <c r="B114" s="208" t="s">
        <v>511</v>
      </c>
      <c r="C114" s="106">
        <v>3154100</v>
      </c>
      <c r="D114" s="106">
        <v>3154100</v>
      </c>
      <c r="E114" s="106">
        <v>3154100</v>
      </c>
      <c r="F114" s="155"/>
      <c r="G114" s="188"/>
      <c r="H114" s="188"/>
      <c r="I114" s="188"/>
      <c r="J114" s="189"/>
      <c r="K114" s="189"/>
      <c r="L114" s="155"/>
      <c r="M114" s="155"/>
      <c r="N114" s="155"/>
      <c r="O114" s="155"/>
      <c r="P114" s="155"/>
      <c r="Q114" s="155"/>
      <c r="R114" s="156"/>
      <c r="S114" s="155"/>
      <c r="U114" s="155"/>
      <c r="V114" s="155"/>
      <c r="W114" s="155"/>
      <c r="X114" s="155"/>
      <c r="Y114" s="155"/>
      <c r="Z114" s="155"/>
      <c r="AA114" s="155"/>
      <c r="AB114" s="155"/>
    </row>
    <row r="115" spans="1:28" s="157" customFormat="1" ht="75" x14ac:dyDescent="0.25">
      <c r="A115" s="205" t="s">
        <v>675</v>
      </c>
      <c r="B115" s="208" t="s">
        <v>676</v>
      </c>
      <c r="C115" s="106">
        <v>0</v>
      </c>
      <c r="D115" s="106">
        <v>0</v>
      </c>
      <c r="E115" s="106">
        <v>117600</v>
      </c>
      <c r="F115" s="155"/>
      <c r="G115" s="188"/>
      <c r="H115" s="188"/>
      <c r="I115" s="188"/>
      <c r="J115" s="189"/>
      <c r="K115" s="189"/>
      <c r="L115" s="155"/>
      <c r="M115" s="155"/>
      <c r="N115" s="155"/>
      <c r="O115" s="155"/>
      <c r="P115" s="155"/>
      <c r="Q115" s="155"/>
      <c r="R115" s="156"/>
      <c r="S115" s="155"/>
      <c r="U115" s="155"/>
      <c r="V115" s="155"/>
      <c r="W115" s="155"/>
      <c r="X115" s="155"/>
      <c r="Y115" s="155"/>
      <c r="Z115" s="155"/>
      <c r="AA115" s="155"/>
      <c r="AB115" s="155"/>
    </row>
    <row r="116" spans="1:28" s="157" customFormat="1" ht="135" x14ac:dyDescent="0.25">
      <c r="A116" s="205" t="s">
        <v>512</v>
      </c>
      <c r="B116" s="208" t="s">
        <v>513</v>
      </c>
      <c r="C116" s="278">
        <v>49541972</v>
      </c>
      <c r="D116" s="279">
        <v>47305700</v>
      </c>
      <c r="E116" s="279">
        <v>47311100</v>
      </c>
      <c r="F116" s="155"/>
      <c r="G116" s="188"/>
      <c r="H116" s="188"/>
      <c r="I116" s="188"/>
      <c r="J116" s="189"/>
      <c r="K116" s="189"/>
      <c r="L116" s="155"/>
      <c r="M116" s="155"/>
      <c r="N116" s="155"/>
      <c r="O116" s="155"/>
      <c r="P116" s="155"/>
      <c r="Q116" s="155"/>
      <c r="R116" s="156"/>
      <c r="S116" s="155"/>
      <c r="U116" s="155"/>
      <c r="V116" s="155"/>
      <c r="W116" s="155"/>
      <c r="X116" s="155"/>
      <c r="Y116" s="155"/>
      <c r="Z116" s="155"/>
      <c r="AA116" s="155"/>
      <c r="AB116" s="155"/>
    </row>
    <row r="117" spans="1:28" s="157" customFormat="1" ht="30" x14ac:dyDescent="0.25">
      <c r="A117" s="216" t="s">
        <v>514</v>
      </c>
      <c r="B117" s="217" t="s">
        <v>515</v>
      </c>
      <c r="C117" s="307">
        <v>78394066.709999993</v>
      </c>
      <c r="D117" s="54">
        <v>44946332.329999998</v>
      </c>
      <c r="E117" s="54">
        <v>44946332.329999998</v>
      </c>
      <c r="F117" s="155"/>
      <c r="G117" s="188"/>
      <c r="H117" s="188"/>
      <c r="I117" s="188"/>
      <c r="J117" s="189"/>
      <c r="K117" s="189"/>
      <c r="L117" s="155"/>
      <c r="M117" s="155"/>
      <c r="N117" s="155"/>
      <c r="O117" s="155"/>
      <c r="P117" s="155"/>
      <c r="Q117" s="155"/>
      <c r="R117" s="156"/>
      <c r="S117" s="155"/>
      <c r="U117" s="155"/>
      <c r="V117" s="155"/>
      <c r="W117" s="155"/>
      <c r="X117" s="155"/>
      <c r="Y117" s="155"/>
      <c r="Z117" s="155"/>
      <c r="AA117" s="155"/>
      <c r="AB117" s="155"/>
    </row>
    <row r="118" spans="1:28" s="209" customFormat="1" ht="15.75" customHeight="1" x14ac:dyDescent="0.25">
      <c r="A118" s="202" t="s">
        <v>516</v>
      </c>
      <c r="B118" s="164" t="s">
        <v>517</v>
      </c>
      <c r="C118" s="165">
        <f>SUM(C119:C120)</f>
        <v>15327661.27</v>
      </c>
      <c r="D118" s="165">
        <f t="shared" ref="D118:E118" si="2">SUM(D119:D120)</f>
        <v>8754946</v>
      </c>
      <c r="E118" s="165">
        <f t="shared" si="2"/>
        <v>9727886</v>
      </c>
      <c r="G118" s="277"/>
      <c r="H118" s="277"/>
      <c r="I118" s="277"/>
      <c r="J118" s="210"/>
      <c r="K118" s="210"/>
      <c r="R118" s="211"/>
      <c r="T118" s="212"/>
    </row>
    <row r="119" spans="1:28" ht="75.75" customHeight="1" x14ac:dyDescent="0.25">
      <c r="A119" s="203" t="s">
        <v>518</v>
      </c>
      <c r="B119" s="183" t="s">
        <v>519</v>
      </c>
      <c r="C119" s="184">
        <v>6572715.2699999996</v>
      </c>
      <c r="D119" s="184">
        <v>0</v>
      </c>
      <c r="E119" s="214">
        <v>0</v>
      </c>
      <c r="G119" s="188"/>
      <c r="H119" s="188"/>
      <c r="I119" s="188"/>
      <c r="J119" s="189"/>
      <c r="K119" s="189"/>
    </row>
    <row r="120" spans="1:28" ht="75.75" customHeight="1" x14ac:dyDescent="0.25">
      <c r="A120" s="203" t="s">
        <v>678</v>
      </c>
      <c r="B120" s="183" t="s">
        <v>677</v>
      </c>
      <c r="C120" s="184">
        <v>8754946</v>
      </c>
      <c r="D120" s="184">
        <v>8754946</v>
      </c>
      <c r="E120" s="214">
        <v>9727886</v>
      </c>
      <c r="G120" s="188"/>
      <c r="H120" s="188"/>
      <c r="I120" s="188"/>
      <c r="J120" s="189"/>
      <c r="K120" s="189"/>
    </row>
    <row r="121" spans="1:28" s="175" customFormat="1" ht="15.75" customHeight="1" x14ac:dyDescent="0.25">
      <c r="A121" s="202" t="s">
        <v>520</v>
      </c>
      <c r="B121" s="164" t="s">
        <v>521</v>
      </c>
      <c r="C121" s="165">
        <f>C122</f>
        <v>13257294</v>
      </c>
      <c r="D121" s="165">
        <f>D122</f>
        <v>0</v>
      </c>
      <c r="E121" s="165">
        <f>E122</f>
        <v>0</v>
      </c>
      <c r="G121" s="178"/>
      <c r="H121" s="178"/>
      <c r="I121" s="178"/>
      <c r="R121" s="204"/>
      <c r="T121" s="178"/>
    </row>
    <row r="122" spans="1:28" ht="30" customHeight="1" x14ac:dyDescent="0.25">
      <c r="A122" s="203" t="s">
        <v>522</v>
      </c>
      <c r="B122" s="183" t="s">
        <v>523</v>
      </c>
      <c r="C122" s="184">
        <f>8000000+4500000+160000-706+598000</f>
        <v>13257294</v>
      </c>
      <c r="D122" s="184">
        <v>0</v>
      </c>
      <c r="E122" s="214">
        <v>0</v>
      </c>
      <c r="J122" s="188"/>
      <c r="K122" s="188"/>
      <c r="S122" s="157"/>
    </row>
    <row r="123" spans="1:28" ht="46.5" customHeight="1" x14ac:dyDescent="0.25">
      <c r="A123" s="202" t="s">
        <v>524</v>
      </c>
      <c r="B123" s="164" t="s">
        <v>525</v>
      </c>
      <c r="C123" s="184">
        <f>1530000+237718.37+4846645.02</f>
        <v>6614363.3899999997</v>
      </c>
      <c r="D123" s="165">
        <v>0</v>
      </c>
      <c r="E123" s="218">
        <v>0</v>
      </c>
      <c r="S123" s="157"/>
    </row>
    <row r="124" spans="1:28" s="175" customFormat="1" ht="78.75" x14ac:dyDescent="0.25">
      <c r="A124" s="202" t="s">
        <v>526</v>
      </c>
      <c r="B124" s="164" t="s">
        <v>527</v>
      </c>
      <c r="C124" s="303"/>
      <c r="D124" s="303"/>
      <c r="E124" s="304"/>
      <c r="G124" s="178"/>
      <c r="H124" s="178"/>
      <c r="I124" s="178"/>
      <c r="R124" s="204"/>
      <c r="T124" s="178"/>
    </row>
    <row r="125" spans="1:28" s="175" customFormat="1" ht="63" customHeight="1" x14ac:dyDescent="0.25">
      <c r="A125" s="202" t="s">
        <v>528</v>
      </c>
      <c r="B125" s="164" t="s">
        <v>529</v>
      </c>
      <c r="C125" s="272">
        <f>-713644.79-2702356.06-4846645.02</f>
        <v>-8262645.8699999992</v>
      </c>
      <c r="D125" s="303"/>
      <c r="E125" s="303"/>
      <c r="G125" s="157"/>
      <c r="H125" s="178"/>
      <c r="I125" s="178"/>
      <c r="R125" s="204"/>
      <c r="T125" s="178"/>
    </row>
    <row r="126" spans="1:28" s="175" customFormat="1" ht="63" customHeight="1" x14ac:dyDescent="0.25">
      <c r="A126" s="202" t="s">
        <v>684</v>
      </c>
      <c r="B126" s="164" t="s">
        <v>683</v>
      </c>
      <c r="C126" s="272">
        <f>2713953-2721838.24</f>
        <v>-7885.2400000002235</v>
      </c>
      <c r="D126" s="303">
        <v>0</v>
      </c>
      <c r="E126" s="303">
        <v>0</v>
      </c>
      <c r="G126" s="157"/>
      <c r="H126" s="178"/>
      <c r="I126" s="178"/>
      <c r="R126" s="204"/>
      <c r="T126" s="178"/>
    </row>
    <row r="127" spans="1:28" s="209" customFormat="1" ht="15.75" x14ac:dyDescent="0.25">
      <c r="A127" s="219"/>
      <c r="B127" s="220" t="s">
        <v>320</v>
      </c>
      <c r="C127" s="42">
        <f>C90+C91</f>
        <v>5249009022.6300001</v>
      </c>
      <c r="D127" s="221">
        <f>D90+D91</f>
        <v>4927726813.3800001</v>
      </c>
      <c r="E127" s="221">
        <f>E90+E91</f>
        <v>5139176344.0299997</v>
      </c>
      <c r="G127" s="212"/>
      <c r="H127" s="212"/>
      <c r="I127" s="212"/>
      <c r="J127" s="212"/>
      <c r="R127" s="211"/>
      <c r="T127" s="212"/>
    </row>
    <row r="129" spans="1:10" x14ac:dyDescent="0.25">
      <c r="J129" s="157"/>
    </row>
    <row r="130" spans="1:10" x14ac:dyDescent="0.25">
      <c r="C130" s="3"/>
      <c r="D130" s="222"/>
      <c r="E130" s="222"/>
    </row>
    <row r="131" spans="1:10" x14ac:dyDescent="0.25">
      <c r="A131" s="223"/>
      <c r="B131" s="224"/>
      <c r="C131" s="309"/>
      <c r="D131" s="225"/>
      <c r="E131" s="225"/>
    </row>
    <row r="132" spans="1:10" x14ac:dyDescent="0.25">
      <c r="C132" s="310"/>
      <c r="D132" s="226"/>
      <c r="E132" s="226"/>
    </row>
    <row r="133" spans="1:10" x14ac:dyDescent="0.25">
      <c r="C133" s="310"/>
      <c r="D133" s="226"/>
      <c r="E133" s="226"/>
    </row>
    <row r="134" spans="1:10" x14ac:dyDescent="0.25">
      <c r="C134" s="310"/>
      <c r="D134" s="226"/>
      <c r="E134" s="226"/>
    </row>
    <row r="135" spans="1:10" x14ac:dyDescent="0.25">
      <c r="C135" s="3"/>
      <c r="D135" s="222"/>
      <c r="E135" s="222"/>
    </row>
  </sheetData>
  <mergeCells count="8">
    <mergeCell ref="D8:E8"/>
    <mergeCell ref="A11:E11"/>
    <mergeCell ref="D2:E2"/>
    <mergeCell ref="D3:E3"/>
    <mergeCell ref="D4:E4"/>
    <mergeCell ref="D5:E5"/>
    <mergeCell ref="D6:E6"/>
    <mergeCell ref="D7:E7"/>
  </mergeCells>
  <pageMargins left="0.63" right="0.24" top="0.35433070866141736" bottom="0.35433070866141736" header="0.31496062992125984" footer="0.31496062992125984"/>
  <pageSetup paperSize="9" scale="60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40"/>
  <sheetViews>
    <sheetView zoomScaleNormal="100" workbookViewId="0">
      <selection activeCell="J13" sqref="J13"/>
    </sheetView>
  </sheetViews>
  <sheetFormatPr defaultRowHeight="15.75" x14ac:dyDescent="0.25"/>
  <cols>
    <col min="1" max="1" width="56.42578125" style="74" customWidth="1"/>
    <col min="2" max="2" width="5.85546875" style="75" customWidth="1"/>
    <col min="3" max="3" width="5.140625" style="75" customWidth="1"/>
    <col min="4" max="4" width="15.85546875" style="75" customWidth="1"/>
    <col min="5" max="5" width="8.5703125" style="75" customWidth="1"/>
    <col min="6" max="6" width="19.42578125" style="41" customWidth="1"/>
    <col min="7" max="7" width="21.85546875" style="41" customWidth="1"/>
    <col min="8" max="8" width="21" style="41" customWidth="1"/>
    <col min="9" max="9" width="16" style="72" bestFit="1" customWidth="1"/>
    <col min="10" max="10" width="17.28515625" style="69" customWidth="1"/>
    <col min="11" max="12" width="18.28515625" style="69" customWidth="1"/>
    <col min="13" max="13" width="15.140625" style="73" customWidth="1"/>
    <col min="14" max="14" width="15.5703125" style="73" customWidth="1"/>
    <col min="15" max="15" width="13.5703125" style="73" customWidth="1"/>
    <col min="16" max="16" width="12.7109375" style="73" customWidth="1"/>
    <col min="17" max="17" width="15.85546875" style="73" customWidth="1"/>
    <col min="18" max="19" width="16.28515625" style="73" customWidth="1"/>
    <col min="20" max="20" width="16.7109375" style="73" bestFit="1" customWidth="1"/>
    <col min="21" max="21" width="15.42578125" style="73" bestFit="1" customWidth="1"/>
    <col min="22" max="22" width="12.7109375" style="69" customWidth="1"/>
    <col min="23" max="23" width="10.42578125" style="69" customWidth="1"/>
    <col min="24" max="24" width="12.7109375" style="69" bestFit="1" customWidth="1"/>
    <col min="25" max="25" width="14" style="69" bestFit="1" customWidth="1"/>
    <col min="26" max="26" width="13.5703125" style="41" bestFit="1" customWidth="1"/>
    <col min="27" max="27" width="13" style="41" customWidth="1"/>
    <col min="28" max="28" width="14.140625" style="41" customWidth="1"/>
    <col min="29" max="29" width="13.85546875" style="41" customWidth="1"/>
    <col min="30" max="30" width="15.140625" style="41" customWidth="1"/>
    <col min="31" max="31" width="15.42578125" style="41" bestFit="1" customWidth="1"/>
    <col min="32" max="32" width="16.7109375" style="41" bestFit="1" customWidth="1"/>
    <col min="33" max="33" width="15.42578125" style="41" bestFit="1" customWidth="1"/>
    <col min="34" max="34" width="11.5703125" style="74" customWidth="1"/>
    <col min="35" max="35" width="10.28515625" style="74" bestFit="1" customWidth="1"/>
    <col min="36" max="36" width="22.42578125" style="74" customWidth="1"/>
    <col min="37" max="37" width="15.5703125" style="74" customWidth="1"/>
    <col min="38" max="38" width="15.85546875" style="74" customWidth="1"/>
    <col min="39" max="39" width="15.5703125" style="74" customWidth="1"/>
    <col min="40" max="40" width="15.85546875" style="74" customWidth="1"/>
    <col min="41" max="41" width="8.85546875" style="74"/>
    <col min="42" max="42" width="10.85546875" style="74" customWidth="1"/>
    <col min="43" max="43" width="11" style="74" bestFit="1" customWidth="1"/>
    <col min="44" max="226" width="8.85546875" style="74"/>
    <col min="227" max="227" width="61" style="74" customWidth="1"/>
    <col min="228" max="228" width="9.140625" style="74" customWidth="1"/>
    <col min="229" max="229" width="5.85546875" style="74" customWidth="1"/>
    <col min="230" max="230" width="5.140625" style="74" customWidth="1"/>
    <col min="231" max="231" width="18.140625" style="74" customWidth="1"/>
    <col min="232" max="232" width="8.5703125" style="74" customWidth="1"/>
    <col min="233" max="233" width="27.140625" style="74" customWidth="1"/>
    <col min="234" max="240" width="0" style="74" hidden="1" customWidth="1"/>
    <col min="241" max="241" width="12.42578125" style="74" bestFit="1" customWidth="1"/>
    <col min="242" max="242" width="13.28515625" style="74" bestFit="1" customWidth="1"/>
    <col min="243" max="243" width="46.7109375" style="74" bestFit="1" customWidth="1"/>
    <col min="244" max="482" width="8.85546875" style="74"/>
    <col min="483" max="483" width="61" style="74" customWidth="1"/>
    <col min="484" max="484" width="9.140625" style="74" customWidth="1"/>
    <col min="485" max="485" width="5.85546875" style="74" customWidth="1"/>
    <col min="486" max="486" width="5.140625" style="74" customWidth="1"/>
    <col min="487" max="487" width="18.140625" style="74" customWidth="1"/>
    <col min="488" max="488" width="8.5703125" style="74" customWidth="1"/>
    <col min="489" max="489" width="27.140625" style="74" customWidth="1"/>
    <col min="490" max="496" width="0" style="74" hidden="1" customWidth="1"/>
    <col min="497" max="497" width="12.42578125" style="74" bestFit="1" customWidth="1"/>
    <col min="498" max="498" width="13.28515625" style="74" bestFit="1" customWidth="1"/>
    <col min="499" max="499" width="46.7109375" style="74" bestFit="1" customWidth="1"/>
    <col min="500" max="738" width="8.85546875" style="74"/>
    <col min="739" max="739" width="61" style="74" customWidth="1"/>
    <col min="740" max="740" width="9.140625" style="74" customWidth="1"/>
    <col min="741" max="741" width="5.85546875" style="74" customWidth="1"/>
    <col min="742" max="742" width="5.140625" style="74" customWidth="1"/>
    <col min="743" max="743" width="18.140625" style="74" customWidth="1"/>
    <col min="744" max="744" width="8.5703125" style="74" customWidth="1"/>
    <col min="745" max="745" width="27.140625" style="74" customWidth="1"/>
    <col min="746" max="752" width="0" style="74" hidden="1" customWidth="1"/>
    <col min="753" max="753" width="12.42578125" style="74" bestFit="1" customWidth="1"/>
    <col min="754" max="754" width="13.28515625" style="74" bestFit="1" customWidth="1"/>
    <col min="755" max="755" width="46.7109375" style="74" bestFit="1" customWidth="1"/>
    <col min="756" max="994" width="8.85546875" style="74"/>
    <col min="995" max="995" width="61" style="74" customWidth="1"/>
    <col min="996" max="996" width="9.140625" style="74" customWidth="1"/>
    <col min="997" max="997" width="5.85546875" style="74" customWidth="1"/>
    <col min="998" max="998" width="5.140625" style="74" customWidth="1"/>
    <col min="999" max="999" width="18.140625" style="74" customWidth="1"/>
    <col min="1000" max="1000" width="8.5703125" style="74" customWidth="1"/>
    <col min="1001" max="1001" width="27.140625" style="74" customWidth="1"/>
    <col min="1002" max="1008" width="0" style="74" hidden="1" customWidth="1"/>
    <col min="1009" max="1009" width="12.42578125" style="74" bestFit="1" customWidth="1"/>
    <col min="1010" max="1010" width="13.28515625" style="74" bestFit="1" customWidth="1"/>
    <col min="1011" max="1011" width="46.7109375" style="74" bestFit="1" customWidth="1"/>
    <col min="1012" max="1250" width="8.85546875" style="74"/>
    <col min="1251" max="1251" width="61" style="74" customWidth="1"/>
    <col min="1252" max="1252" width="9.140625" style="74" customWidth="1"/>
    <col min="1253" max="1253" width="5.85546875" style="74" customWidth="1"/>
    <col min="1254" max="1254" width="5.140625" style="74" customWidth="1"/>
    <col min="1255" max="1255" width="18.140625" style="74" customWidth="1"/>
    <col min="1256" max="1256" width="8.5703125" style="74" customWidth="1"/>
    <col min="1257" max="1257" width="27.140625" style="74" customWidth="1"/>
    <col min="1258" max="1264" width="0" style="74" hidden="1" customWidth="1"/>
    <col min="1265" max="1265" width="12.42578125" style="74" bestFit="1" customWidth="1"/>
    <col min="1266" max="1266" width="13.28515625" style="74" bestFit="1" customWidth="1"/>
    <col min="1267" max="1267" width="46.7109375" style="74" bestFit="1" customWidth="1"/>
    <col min="1268" max="1506" width="8.85546875" style="74"/>
    <col min="1507" max="1507" width="61" style="74" customWidth="1"/>
    <col min="1508" max="1508" width="9.140625" style="74" customWidth="1"/>
    <col min="1509" max="1509" width="5.85546875" style="74" customWidth="1"/>
    <col min="1510" max="1510" width="5.140625" style="74" customWidth="1"/>
    <col min="1511" max="1511" width="18.140625" style="74" customWidth="1"/>
    <col min="1512" max="1512" width="8.5703125" style="74" customWidth="1"/>
    <col min="1513" max="1513" width="27.140625" style="74" customWidth="1"/>
    <col min="1514" max="1520" width="0" style="74" hidden="1" customWidth="1"/>
    <col min="1521" max="1521" width="12.42578125" style="74" bestFit="1" customWidth="1"/>
    <col min="1522" max="1522" width="13.28515625" style="74" bestFit="1" customWidth="1"/>
    <col min="1523" max="1523" width="46.7109375" style="74" bestFit="1" customWidth="1"/>
    <col min="1524" max="1762" width="8.85546875" style="74"/>
    <col min="1763" max="1763" width="61" style="74" customWidth="1"/>
    <col min="1764" max="1764" width="9.140625" style="74" customWidth="1"/>
    <col min="1765" max="1765" width="5.85546875" style="74" customWidth="1"/>
    <col min="1766" max="1766" width="5.140625" style="74" customWidth="1"/>
    <col min="1767" max="1767" width="18.140625" style="74" customWidth="1"/>
    <col min="1768" max="1768" width="8.5703125" style="74" customWidth="1"/>
    <col min="1769" max="1769" width="27.140625" style="74" customWidth="1"/>
    <col min="1770" max="1776" width="0" style="74" hidden="1" customWidth="1"/>
    <col min="1777" max="1777" width="12.42578125" style="74" bestFit="1" customWidth="1"/>
    <col min="1778" max="1778" width="13.28515625" style="74" bestFit="1" customWidth="1"/>
    <col min="1779" max="1779" width="46.7109375" style="74" bestFit="1" customWidth="1"/>
    <col min="1780" max="2018" width="8.85546875" style="74"/>
    <col min="2019" max="2019" width="61" style="74" customWidth="1"/>
    <col min="2020" max="2020" width="9.140625" style="74" customWidth="1"/>
    <col min="2021" max="2021" width="5.85546875" style="74" customWidth="1"/>
    <col min="2022" max="2022" width="5.140625" style="74" customWidth="1"/>
    <col min="2023" max="2023" width="18.140625" style="74" customWidth="1"/>
    <col min="2024" max="2024" width="8.5703125" style="74" customWidth="1"/>
    <col min="2025" max="2025" width="27.140625" style="74" customWidth="1"/>
    <col min="2026" max="2032" width="0" style="74" hidden="1" customWidth="1"/>
    <col min="2033" max="2033" width="12.42578125" style="74" bestFit="1" customWidth="1"/>
    <col min="2034" max="2034" width="13.28515625" style="74" bestFit="1" customWidth="1"/>
    <col min="2035" max="2035" width="46.7109375" style="74" bestFit="1" customWidth="1"/>
    <col min="2036" max="2274" width="8.85546875" style="74"/>
    <col min="2275" max="2275" width="61" style="74" customWidth="1"/>
    <col min="2276" max="2276" width="9.140625" style="74" customWidth="1"/>
    <col min="2277" max="2277" width="5.85546875" style="74" customWidth="1"/>
    <col min="2278" max="2278" width="5.140625" style="74" customWidth="1"/>
    <col min="2279" max="2279" width="18.140625" style="74" customWidth="1"/>
    <col min="2280" max="2280" width="8.5703125" style="74" customWidth="1"/>
    <col min="2281" max="2281" width="27.140625" style="74" customWidth="1"/>
    <col min="2282" max="2288" width="0" style="74" hidden="1" customWidth="1"/>
    <col min="2289" max="2289" width="12.42578125" style="74" bestFit="1" customWidth="1"/>
    <col min="2290" max="2290" width="13.28515625" style="74" bestFit="1" customWidth="1"/>
    <col min="2291" max="2291" width="46.7109375" style="74" bestFit="1" customWidth="1"/>
    <col min="2292" max="2530" width="8.85546875" style="74"/>
    <col min="2531" max="2531" width="61" style="74" customWidth="1"/>
    <col min="2532" max="2532" width="9.140625" style="74" customWidth="1"/>
    <col min="2533" max="2533" width="5.85546875" style="74" customWidth="1"/>
    <col min="2534" max="2534" width="5.140625" style="74" customWidth="1"/>
    <col min="2535" max="2535" width="18.140625" style="74" customWidth="1"/>
    <col min="2536" max="2536" width="8.5703125" style="74" customWidth="1"/>
    <col min="2537" max="2537" width="27.140625" style="74" customWidth="1"/>
    <col min="2538" max="2544" width="0" style="74" hidden="1" customWidth="1"/>
    <col min="2545" max="2545" width="12.42578125" style="74" bestFit="1" customWidth="1"/>
    <col min="2546" max="2546" width="13.28515625" style="74" bestFit="1" customWidth="1"/>
    <col min="2547" max="2547" width="46.7109375" style="74" bestFit="1" customWidth="1"/>
    <col min="2548" max="2786" width="8.85546875" style="74"/>
    <col min="2787" max="2787" width="61" style="74" customWidth="1"/>
    <col min="2788" max="2788" width="9.140625" style="74" customWidth="1"/>
    <col min="2789" max="2789" width="5.85546875" style="74" customWidth="1"/>
    <col min="2790" max="2790" width="5.140625" style="74" customWidth="1"/>
    <col min="2791" max="2791" width="18.140625" style="74" customWidth="1"/>
    <col min="2792" max="2792" width="8.5703125" style="74" customWidth="1"/>
    <col min="2793" max="2793" width="27.140625" style="74" customWidth="1"/>
    <col min="2794" max="2800" width="0" style="74" hidden="1" customWidth="1"/>
    <col min="2801" max="2801" width="12.42578125" style="74" bestFit="1" customWidth="1"/>
    <col min="2802" max="2802" width="13.28515625" style="74" bestFit="1" customWidth="1"/>
    <col min="2803" max="2803" width="46.7109375" style="74" bestFit="1" customWidth="1"/>
    <col min="2804" max="3042" width="8.85546875" style="74"/>
    <col min="3043" max="3043" width="61" style="74" customWidth="1"/>
    <col min="3044" max="3044" width="9.140625" style="74" customWidth="1"/>
    <col min="3045" max="3045" width="5.85546875" style="74" customWidth="1"/>
    <col min="3046" max="3046" width="5.140625" style="74" customWidth="1"/>
    <col min="3047" max="3047" width="18.140625" style="74" customWidth="1"/>
    <col min="3048" max="3048" width="8.5703125" style="74" customWidth="1"/>
    <col min="3049" max="3049" width="27.140625" style="74" customWidth="1"/>
    <col min="3050" max="3056" width="0" style="74" hidden="1" customWidth="1"/>
    <col min="3057" max="3057" width="12.42578125" style="74" bestFit="1" customWidth="1"/>
    <col min="3058" max="3058" width="13.28515625" style="74" bestFit="1" customWidth="1"/>
    <col min="3059" max="3059" width="46.7109375" style="74" bestFit="1" customWidth="1"/>
    <col min="3060" max="3298" width="8.85546875" style="74"/>
    <col min="3299" max="3299" width="61" style="74" customWidth="1"/>
    <col min="3300" max="3300" width="9.140625" style="74" customWidth="1"/>
    <col min="3301" max="3301" width="5.85546875" style="74" customWidth="1"/>
    <col min="3302" max="3302" width="5.140625" style="74" customWidth="1"/>
    <col min="3303" max="3303" width="18.140625" style="74" customWidth="1"/>
    <col min="3304" max="3304" width="8.5703125" style="74" customWidth="1"/>
    <col min="3305" max="3305" width="27.140625" style="74" customWidth="1"/>
    <col min="3306" max="3312" width="0" style="74" hidden="1" customWidth="1"/>
    <col min="3313" max="3313" width="12.42578125" style="74" bestFit="1" customWidth="1"/>
    <col min="3314" max="3314" width="13.28515625" style="74" bestFit="1" customWidth="1"/>
    <col min="3315" max="3315" width="46.7109375" style="74" bestFit="1" customWidth="1"/>
    <col min="3316" max="3554" width="8.85546875" style="74"/>
    <col min="3555" max="3555" width="61" style="74" customWidth="1"/>
    <col min="3556" max="3556" width="9.140625" style="74" customWidth="1"/>
    <col min="3557" max="3557" width="5.85546875" style="74" customWidth="1"/>
    <col min="3558" max="3558" width="5.140625" style="74" customWidth="1"/>
    <col min="3559" max="3559" width="18.140625" style="74" customWidth="1"/>
    <col min="3560" max="3560" width="8.5703125" style="74" customWidth="1"/>
    <col min="3561" max="3561" width="27.140625" style="74" customWidth="1"/>
    <col min="3562" max="3568" width="0" style="74" hidden="1" customWidth="1"/>
    <col min="3569" max="3569" width="12.42578125" style="74" bestFit="1" customWidth="1"/>
    <col min="3570" max="3570" width="13.28515625" style="74" bestFit="1" customWidth="1"/>
    <col min="3571" max="3571" width="46.7109375" style="74" bestFit="1" customWidth="1"/>
    <col min="3572" max="3810" width="8.85546875" style="74"/>
    <col min="3811" max="3811" width="61" style="74" customWidth="1"/>
    <col min="3812" max="3812" width="9.140625" style="74" customWidth="1"/>
    <col min="3813" max="3813" width="5.85546875" style="74" customWidth="1"/>
    <col min="3814" max="3814" width="5.140625" style="74" customWidth="1"/>
    <col min="3815" max="3815" width="18.140625" style="74" customWidth="1"/>
    <col min="3816" max="3816" width="8.5703125" style="74" customWidth="1"/>
    <col min="3817" max="3817" width="27.140625" style="74" customWidth="1"/>
    <col min="3818" max="3824" width="0" style="74" hidden="1" customWidth="1"/>
    <col min="3825" max="3825" width="12.42578125" style="74" bestFit="1" customWidth="1"/>
    <col min="3826" max="3826" width="13.28515625" style="74" bestFit="1" customWidth="1"/>
    <col min="3827" max="3827" width="46.7109375" style="74" bestFit="1" customWidth="1"/>
    <col min="3828" max="4066" width="8.85546875" style="74"/>
    <col min="4067" max="4067" width="61" style="74" customWidth="1"/>
    <col min="4068" max="4068" width="9.140625" style="74" customWidth="1"/>
    <col min="4069" max="4069" width="5.85546875" style="74" customWidth="1"/>
    <col min="4070" max="4070" width="5.140625" style="74" customWidth="1"/>
    <col min="4071" max="4071" width="18.140625" style="74" customWidth="1"/>
    <col min="4072" max="4072" width="8.5703125" style="74" customWidth="1"/>
    <col min="4073" max="4073" width="27.140625" style="74" customWidth="1"/>
    <col min="4074" max="4080" width="0" style="74" hidden="1" customWidth="1"/>
    <col min="4081" max="4081" width="12.42578125" style="74" bestFit="1" customWidth="1"/>
    <col min="4082" max="4082" width="13.28515625" style="74" bestFit="1" customWidth="1"/>
    <col min="4083" max="4083" width="46.7109375" style="74" bestFit="1" customWidth="1"/>
    <col min="4084" max="4322" width="8.85546875" style="74"/>
    <col min="4323" max="4323" width="61" style="74" customWidth="1"/>
    <col min="4324" max="4324" width="9.140625" style="74" customWidth="1"/>
    <col min="4325" max="4325" width="5.85546875" style="74" customWidth="1"/>
    <col min="4326" max="4326" width="5.140625" style="74" customWidth="1"/>
    <col min="4327" max="4327" width="18.140625" style="74" customWidth="1"/>
    <col min="4328" max="4328" width="8.5703125" style="74" customWidth="1"/>
    <col min="4329" max="4329" width="27.140625" style="74" customWidth="1"/>
    <col min="4330" max="4336" width="0" style="74" hidden="1" customWidth="1"/>
    <col min="4337" max="4337" width="12.42578125" style="74" bestFit="1" customWidth="1"/>
    <col min="4338" max="4338" width="13.28515625" style="74" bestFit="1" customWidth="1"/>
    <col min="4339" max="4339" width="46.7109375" style="74" bestFit="1" customWidth="1"/>
    <col min="4340" max="4578" width="8.85546875" style="74"/>
    <col min="4579" max="4579" width="61" style="74" customWidth="1"/>
    <col min="4580" max="4580" width="9.140625" style="74" customWidth="1"/>
    <col min="4581" max="4581" width="5.85546875" style="74" customWidth="1"/>
    <col min="4582" max="4582" width="5.140625" style="74" customWidth="1"/>
    <col min="4583" max="4583" width="18.140625" style="74" customWidth="1"/>
    <col min="4584" max="4584" width="8.5703125" style="74" customWidth="1"/>
    <col min="4585" max="4585" width="27.140625" style="74" customWidth="1"/>
    <col min="4586" max="4592" width="0" style="74" hidden="1" customWidth="1"/>
    <col min="4593" max="4593" width="12.42578125" style="74" bestFit="1" customWidth="1"/>
    <col min="4594" max="4594" width="13.28515625" style="74" bestFit="1" customWidth="1"/>
    <col min="4595" max="4595" width="46.7109375" style="74" bestFit="1" customWidth="1"/>
    <col min="4596" max="4834" width="8.85546875" style="74"/>
    <col min="4835" max="4835" width="61" style="74" customWidth="1"/>
    <col min="4836" max="4836" width="9.140625" style="74" customWidth="1"/>
    <col min="4837" max="4837" width="5.85546875" style="74" customWidth="1"/>
    <col min="4838" max="4838" width="5.140625" style="74" customWidth="1"/>
    <col min="4839" max="4839" width="18.140625" style="74" customWidth="1"/>
    <col min="4840" max="4840" width="8.5703125" style="74" customWidth="1"/>
    <col min="4841" max="4841" width="27.140625" style="74" customWidth="1"/>
    <col min="4842" max="4848" width="0" style="74" hidden="1" customWidth="1"/>
    <col min="4849" max="4849" width="12.42578125" style="74" bestFit="1" customWidth="1"/>
    <col min="4850" max="4850" width="13.28515625" style="74" bestFit="1" customWidth="1"/>
    <col min="4851" max="4851" width="46.7109375" style="74" bestFit="1" customWidth="1"/>
    <col min="4852" max="5090" width="8.85546875" style="74"/>
    <col min="5091" max="5091" width="61" style="74" customWidth="1"/>
    <col min="5092" max="5092" width="9.140625" style="74" customWidth="1"/>
    <col min="5093" max="5093" width="5.85546875" style="74" customWidth="1"/>
    <col min="5094" max="5094" width="5.140625" style="74" customWidth="1"/>
    <col min="5095" max="5095" width="18.140625" style="74" customWidth="1"/>
    <col min="5096" max="5096" width="8.5703125" style="74" customWidth="1"/>
    <col min="5097" max="5097" width="27.140625" style="74" customWidth="1"/>
    <col min="5098" max="5104" width="0" style="74" hidden="1" customWidth="1"/>
    <col min="5105" max="5105" width="12.42578125" style="74" bestFit="1" customWidth="1"/>
    <col min="5106" max="5106" width="13.28515625" style="74" bestFit="1" customWidth="1"/>
    <col min="5107" max="5107" width="46.7109375" style="74" bestFit="1" customWidth="1"/>
    <col min="5108" max="5346" width="8.85546875" style="74"/>
    <col min="5347" max="5347" width="61" style="74" customWidth="1"/>
    <col min="5348" max="5348" width="9.140625" style="74" customWidth="1"/>
    <col min="5349" max="5349" width="5.85546875" style="74" customWidth="1"/>
    <col min="5350" max="5350" width="5.140625" style="74" customWidth="1"/>
    <col min="5351" max="5351" width="18.140625" style="74" customWidth="1"/>
    <col min="5352" max="5352" width="8.5703125" style="74" customWidth="1"/>
    <col min="5353" max="5353" width="27.140625" style="74" customWidth="1"/>
    <col min="5354" max="5360" width="0" style="74" hidden="1" customWidth="1"/>
    <col min="5361" max="5361" width="12.42578125" style="74" bestFit="1" customWidth="1"/>
    <col min="5362" max="5362" width="13.28515625" style="74" bestFit="1" customWidth="1"/>
    <col min="5363" max="5363" width="46.7109375" style="74" bestFit="1" customWidth="1"/>
    <col min="5364" max="5602" width="8.85546875" style="74"/>
    <col min="5603" max="5603" width="61" style="74" customWidth="1"/>
    <col min="5604" max="5604" width="9.140625" style="74" customWidth="1"/>
    <col min="5605" max="5605" width="5.85546875" style="74" customWidth="1"/>
    <col min="5606" max="5606" width="5.140625" style="74" customWidth="1"/>
    <col min="5607" max="5607" width="18.140625" style="74" customWidth="1"/>
    <col min="5608" max="5608" width="8.5703125" style="74" customWidth="1"/>
    <col min="5609" max="5609" width="27.140625" style="74" customWidth="1"/>
    <col min="5610" max="5616" width="0" style="74" hidden="1" customWidth="1"/>
    <col min="5617" max="5617" width="12.42578125" style="74" bestFit="1" customWidth="1"/>
    <col min="5618" max="5618" width="13.28515625" style="74" bestFit="1" customWidth="1"/>
    <col min="5619" max="5619" width="46.7109375" style="74" bestFit="1" customWidth="1"/>
    <col min="5620" max="5858" width="8.85546875" style="74"/>
    <col min="5859" max="5859" width="61" style="74" customWidth="1"/>
    <col min="5860" max="5860" width="9.140625" style="74" customWidth="1"/>
    <col min="5861" max="5861" width="5.85546875" style="74" customWidth="1"/>
    <col min="5862" max="5862" width="5.140625" style="74" customWidth="1"/>
    <col min="5863" max="5863" width="18.140625" style="74" customWidth="1"/>
    <col min="5864" max="5864" width="8.5703125" style="74" customWidth="1"/>
    <col min="5865" max="5865" width="27.140625" style="74" customWidth="1"/>
    <col min="5866" max="5872" width="0" style="74" hidden="1" customWidth="1"/>
    <col min="5873" max="5873" width="12.42578125" style="74" bestFit="1" customWidth="1"/>
    <col min="5874" max="5874" width="13.28515625" style="74" bestFit="1" customWidth="1"/>
    <col min="5875" max="5875" width="46.7109375" style="74" bestFit="1" customWidth="1"/>
    <col min="5876" max="6114" width="8.85546875" style="74"/>
    <col min="6115" max="6115" width="61" style="74" customWidth="1"/>
    <col min="6116" max="6116" width="9.140625" style="74" customWidth="1"/>
    <col min="6117" max="6117" width="5.85546875" style="74" customWidth="1"/>
    <col min="6118" max="6118" width="5.140625" style="74" customWidth="1"/>
    <col min="6119" max="6119" width="18.140625" style="74" customWidth="1"/>
    <col min="6120" max="6120" width="8.5703125" style="74" customWidth="1"/>
    <col min="6121" max="6121" width="27.140625" style="74" customWidth="1"/>
    <col min="6122" max="6128" width="0" style="74" hidden="1" customWidth="1"/>
    <col min="6129" max="6129" width="12.42578125" style="74" bestFit="1" customWidth="1"/>
    <col min="6130" max="6130" width="13.28515625" style="74" bestFit="1" customWidth="1"/>
    <col min="6131" max="6131" width="46.7109375" style="74" bestFit="1" customWidth="1"/>
    <col min="6132" max="6370" width="8.85546875" style="74"/>
    <col min="6371" max="6371" width="61" style="74" customWidth="1"/>
    <col min="6372" max="6372" width="9.140625" style="74" customWidth="1"/>
    <col min="6373" max="6373" width="5.85546875" style="74" customWidth="1"/>
    <col min="6374" max="6374" width="5.140625" style="74" customWidth="1"/>
    <col min="6375" max="6375" width="18.140625" style="74" customWidth="1"/>
    <col min="6376" max="6376" width="8.5703125" style="74" customWidth="1"/>
    <col min="6377" max="6377" width="27.140625" style="74" customWidth="1"/>
    <col min="6378" max="6384" width="0" style="74" hidden="1" customWidth="1"/>
    <col min="6385" max="6385" width="12.42578125" style="74" bestFit="1" customWidth="1"/>
    <col min="6386" max="6386" width="13.28515625" style="74" bestFit="1" customWidth="1"/>
    <col min="6387" max="6387" width="46.7109375" style="74" bestFit="1" customWidth="1"/>
    <col min="6388" max="6626" width="8.85546875" style="74"/>
    <col min="6627" max="6627" width="61" style="74" customWidth="1"/>
    <col min="6628" max="6628" width="9.140625" style="74" customWidth="1"/>
    <col min="6629" max="6629" width="5.85546875" style="74" customWidth="1"/>
    <col min="6630" max="6630" width="5.140625" style="74" customWidth="1"/>
    <col min="6631" max="6631" width="18.140625" style="74" customWidth="1"/>
    <col min="6632" max="6632" width="8.5703125" style="74" customWidth="1"/>
    <col min="6633" max="6633" width="27.140625" style="74" customWidth="1"/>
    <col min="6634" max="6640" width="0" style="74" hidden="1" customWidth="1"/>
    <col min="6641" max="6641" width="12.42578125" style="74" bestFit="1" customWidth="1"/>
    <col min="6642" max="6642" width="13.28515625" style="74" bestFit="1" customWidth="1"/>
    <col min="6643" max="6643" width="46.7109375" style="74" bestFit="1" customWidth="1"/>
    <col min="6644" max="6882" width="8.85546875" style="74"/>
    <col min="6883" max="6883" width="61" style="74" customWidth="1"/>
    <col min="6884" max="6884" width="9.140625" style="74" customWidth="1"/>
    <col min="6885" max="6885" width="5.85546875" style="74" customWidth="1"/>
    <col min="6886" max="6886" width="5.140625" style="74" customWidth="1"/>
    <col min="6887" max="6887" width="18.140625" style="74" customWidth="1"/>
    <col min="6888" max="6888" width="8.5703125" style="74" customWidth="1"/>
    <col min="6889" max="6889" width="27.140625" style="74" customWidth="1"/>
    <col min="6890" max="6896" width="0" style="74" hidden="1" customWidth="1"/>
    <col min="6897" max="6897" width="12.42578125" style="74" bestFit="1" customWidth="1"/>
    <col min="6898" max="6898" width="13.28515625" style="74" bestFit="1" customWidth="1"/>
    <col min="6899" max="6899" width="46.7109375" style="74" bestFit="1" customWidth="1"/>
    <col min="6900" max="7138" width="8.85546875" style="74"/>
    <col min="7139" max="7139" width="61" style="74" customWidth="1"/>
    <col min="7140" max="7140" width="9.140625" style="74" customWidth="1"/>
    <col min="7141" max="7141" width="5.85546875" style="74" customWidth="1"/>
    <col min="7142" max="7142" width="5.140625" style="74" customWidth="1"/>
    <col min="7143" max="7143" width="18.140625" style="74" customWidth="1"/>
    <col min="7144" max="7144" width="8.5703125" style="74" customWidth="1"/>
    <col min="7145" max="7145" width="27.140625" style="74" customWidth="1"/>
    <col min="7146" max="7152" width="0" style="74" hidden="1" customWidth="1"/>
    <col min="7153" max="7153" width="12.42578125" style="74" bestFit="1" customWidth="1"/>
    <col min="7154" max="7154" width="13.28515625" style="74" bestFit="1" customWidth="1"/>
    <col min="7155" max="7155" width="46.7109375" style="74" bestFit="1" customWidth="1"/>
    <col min="7156" max="7394" width="8.85546875" style="74"/>
    <col min="7395" max="7395" width="61" style="74" customWidth="1"/>
    <col min="7396" max="7396" width="9.140625" style="74" customWidth="1"/>
    <col min="7397" max="7397" width="5.85546875" style="74" customWidth="1"/>
    <col min="7398" max="7398" width="5.140625" style="74" customWidth="1"/>
    <col min="7399" max="7399" width="18.140625" style="74" customWidth="1"/>
    <col min="7400" max="7400" width="8.5703125" style="74" customWidth="1"/>
    <col min="7401" max="7401" width="27.140625" style="74" customWidth="1"/>
    <col min="7402" max="7408" width="0" style="74" hidden="1" customWidth="1"/>
    <col min="7409" max="7409" width="12.42578125" style="74" bestFit="1" customWidth="1"/>
    <col min="7410" max="7410" width="13.28515625" style="74" bestFit="1" customWidth="1"/>
    <col min="7411" max="7411" width="46.7109375" style="74" bestFit="1" customWidth="1"/>
    <col min="7412" max="7650" width="8.85546875" style="74"/>
    <col min="7651" max="7651" width="61" style="74" customWidth="1"/>
    <col min="7652" max="7652" width="9.140625" style="74" customWidth="1"/>
    <col min="7653" max="7653" width="5.85546875" style="74" customWidth="1"/>
    <col min="7654" max="7654" width="5.140625" style="74" customWidth="1"/>
    <col min="7655" max="7655" width="18.140625" style="74" customWidth="1"/>
    <col min="7656" max="7656" width="8.5703125" style="74" customWidth="1"/>
    <col min="7657" max="7657" width="27.140625" style="74" customWidth="1"/>
    <col min="7658" max="7664" width="0" style="74" hidden="1" customWidth="1"/>
    <col min="7665" max="7665" width="12.42578125" style="74" bestFit="1" customWidth="1"/>
    <col min="7666" max="7666" width="13.28515625" style="74" bestFit="1" customWidth="1"/>
    <col min="7667" max="7667" width="46.7109375" style="74" bestFit="1" customWidth="1"/>
    <col min="7668" max="7906" width="8.85546875" style="74"/>
    <col min="7907" max="7907" width="61" style="74" customWidth="1"/>
    <col min="7908" max="7908" width="9.140625" style="74" customWidth="1"/>
    <col min="7909" max="7909" width="5.85546875" style="74" customWidth="1"/>
    <col min="7910" max="7910" width="5.140625" style="74" customWidth="1"/>
    <col min="7911" max="7911" width="18.140625" style="74" customWidth="1"/>
    <col min="7912" max="7912" width="8.5703125" style="74" customWidth="1"/>
    <col min="7913" max="7913" width="27.140625" style="74" customWidth="1"/>
    <col min="7914" max="7920" width="0" style="74" hidden="1" customWidth="1"/>
    <col min="7921" max="7921" width="12.42578125" style="74" bestFit="1" customWidth="1"/>
    <col min="7922" max="7922" width="13.28515625" style="74" bestFit="1" customWidth="1"/>
    <col min="7923" max="7923" width="46.7109375" style="74" bestFit="1" customWidth="1"/>
    <col min="7924" max="8162" width="8.85546875" style="74"/>
    <col min="8163" max="8163" width="61" style="74" customWidth="1"/>
    <col min="8164" max="8164" width="9.140625" style="74" customWidth="1"/>
    <col min="8165" max="8165" width="5.85546875" style="74" customWidth="1"/>
    <col min="8166" max="8166" width="5.140625" style="74" customWidth="1"/>
    <col min="8167" max="8167" width="18.140625" style="74" customWidth="1"/>
    <col min="8168" max="8168" width="8.5703125" style="74" customWidth="1"/>
    <col min="8169" max="8169" width="27.140625" style="74" customWidth="1"/>
    <col min="8170" max="8176" width="0" style="74" hidden="1" customWidth="1"/>
    <col min="8177" max="8177" width="12.42578125" style="74" bestFit="1" customWidth="1"/>
    <col min="8178" max="8178" width="13.28515625" style="74" bestFit="1" customWidth="1"/>
    <col min="8179" max="8179" width="46.7109375" style="74" bestFit="1" customWidth="1"/>
    <col min="8180" max="8418" width="8.85546875" style="74"/>
    <col min="8419" max="8419" width="61" style="74" customWidth="1"/>
    <col min="8420" max="8420" width="9.140625" style="74" customWidth="1"/>
    <col min="8421" max="8421" width="5.85546875" style="74" customWidth="1"/>
    <col min="8422" max="8422" width="5.140625" style="74" customWidth="1"/>
    <col min="8423" max="8423" width="18.140625" style="74" customWidth="1"/>
    <col min="8424" max="8424" width="8.5703125" style="74" customWidth="1"/>
    <col min="8425" max="8425" width="27.140625" style="74" customWidth="1"/>
    <col min="8426" max="8432" width="0" style="74" hidden="1" customWidth="1"/>
    <col min="8433" max="8433" width="12.42578125" style="74" bestFit="1" customWidth="1"/>
    <col min="8434" max="8434" width="13.28515625" style="74" bestFit="1" customWidth="1"/>
    <col min="8435" max="8435" width="46.7109375" style="74" bestFit="1" customWidth="1"/>
    <col min="8436" max="8674" width="8.85546875" style="74"/>
    <col min="8675" max="8675" width="61" style="74" customWidth="1"/>
    <col min="8676" max="8676" width="9.140625" style="74" customWidth="1"/>
    <col min="8677" max="8677" width="5.85546875" style="74" customWidth="1"/>
    <col min="8678" max="8678" width="5.140625" style="74" customWidth="1"/>
    <col min="8679" max="8679" width="18.140625" style="74" customWidth="1"/>
    <col min="8680" max="8680" width="8.5703125" style="74" customWidth="1"/>
    <col min="8681" max="8681" width="27.140625" style="74" customWidth="1"/>
    <col min="8682" max="8688" width="0" style="74" hidden="1" customWidth="1"/>
    <col min="8689" max="8689" width="12.42578125" style="74" bestFit="1" customWidth="1"/>
    <col min="8690" max="8690" width="13.28515625" style="74" bestFit="1" customWidth="1"/>
    <col min="8691" max="8691" width="46.7109375" style="74" bestFit="1" customWidth="1"/>
    <col min="8692" max="8930" width="8.85546875" style="74"/>
    <col min="8931" max="8931" width="61" style="74" customWidth="1"/>
    <col min="8932" max="8932" width="9.140625" style="74" customWidth="1"/>
    <col min="8933" max="8933" width="5.85546875" style="74" customWidth="1"/>
    <col min="8934" max="8934" width="5.140625" style="74" customWidth="1"/>
    <col min="8935" max="8935" width="18.140625" style="74" customWidth="1"/>
    <col min="8936" max="8936" width="8.5703125" style="74" customWidth="1"/>
    <col min="8937" max="8937" width="27.140625" style="74" customWidth="1"/>
    <col min="8938" max="8944" width="0" style="74" hidden="1" customWidth="1"/>
    <col min="8945" max="8945" width="12.42578125" style="74" bestFit="1" customWidth="1"/>
    <col min="8946" max="8946" width="13.28515625" style="74" bestFit="1" customWidth="1"/>
    <col min="8947" max="8947" width="46.7109375" style="74" bestFit="1" customWidth="1"/>
    <col min="8948" max="9186" width="8.85546875" style="74"/>
    <col min="9187" max="9187" width="61" style="74" customWidth="1"/>
    <col min="9188" max="9188" width="9.140625" style="74" customWidth="1"/>
    <col min="9189" max="9189" width="5.85546875" style="74" customWidth="1"/>
    <col min="9190" max="9190" width="5.140625" style="74" customWidth="1"/>
    <col min="9191" max="9191" width="18.140625" style="74" customWidth="1"/>
    <col min="9192" max="9192" width="8.5703125" style="74" customWidth="1"/>
    <col min="9193" max="9193" width="27.140625" style="74" customWidth="1"/>
    <col min="9194" max="9200" width="0" style="74" hidden="1" customWidth="1"/>
    <col min="9201" max="9201" width="12.42578125" style="74" bestFit="1" customWidth="1"/>
    <col min="9202" max="9202" width="13.28515625" style="74" bestFit="1" customWidth="1"/>
    <col min="9203" max="9203" width="46.7109375" style="74" bestFit="1" customWidth="1"/>
    <col min="9204" max="9442" width="8.85546875" style="74"/>
    <col min="9443" max="9443" width="61" style="74" customWidth="1"/>
    <col min="9444" max="9444" width="9.140625" style="74" customWidth="1"/>
    <col min="9445" max="9445" width="5.85546875" style="74" customWidth="1"/>
    <col min="9446" max="9446" width="5.140625" style="74" customWidth="1"/>
    <col min="9447" max="9447" width="18.140625" style="74" customWidth="1"/>
    <col min="9448" max="9448" width="8.5703125" style="74" customWidth="1"/>
    <col min="9449" max="9449" width="27.140625" style="74" customWidth="1"/>
    <col min="9450" max="9456" width="0" style="74" hidden="1" customWidth="1"/>
    <col min="9457" max="9457" width="12.42578125" style="74" bestFit="1" customWidth="1"/>
    <col min="9458" max="9458" width="13.28515625" style="74" bestFit="1" customWidth="1"/>
    <col min="9459" max="9459" width="46.7109375" style="74" bestFit="1" customWidth="1"/>
    <col min="9460" max="9698" width="8.85546875" style="74"/>
    <col min="9699" max="9699" width="61" style="74" customWidth="1"/>
    <col min="9700" max="9700" width="9.140625" style="74" customWidth="1"/>
    <col min="9701" max="9701" width="5.85546875" style="74" customWidth="1"/>
    <col min="9702" max="9702" width="5.140625" style="74" customWidth="1"/>
    <col min="9703" max="9703" width="18.140625" style="74" customWidth="1"/>
    <col min="9704" max="9704" width="8.5703125" style="74" customWidth="1"/>
    <col min="9705" max="9705" width="27.140625" style="74" customWidth="1"/>
    <col min="9706" max="9712" width="0" style="74" hidden="1" customWidth="1"/>
    <col min="9713" max="9713" width="12.42578125" style="74" bestFit="1" customWidth="1"/>
    <col min="9714" max="9714" width="13.28515625" style="74" bestFit="1" customWidth="1"/>
    <col min="9715" max="9715" width="46.7109375" style="74" bestFit="1" customWidth="1"/>
    <col min="9716" max="9954" width="8.85546875" style="74"/>
    <col min="9955" max="9955" width="61" style="74" customWidth="1"/>
    <col min="9956" max="9956" width="9.140625" style="74" customWidth="1"/>
    <col min="9957" max="9957" width="5.85546875" style="74" customWidth="1"/>
    <col min="9958" max="9958" width="5.140625" style="74" customWidth="1"/>
    <col min="9959" max="9959" width="18.140625" style="74" customWidth="1"/>
    <col min="9960" max="9960" width="8.5703125" style="74" customWidth="1"/>
    <col min="9961" max="9961" width="27.140625" style="74" customWidth="1"/>
    <col min="9962" max="9968" width="0" style="74" hidden="1" customWidth="1"/>
    <col min="9969" max="9969" width="12.42578125" style="74" bestFit="1" customWidth="1"/>
    <col min="9970" max="9970" width="13.28515625" style="74" bestFit="1" customWidth="1"/>
    <col min="9971" max="9971" width="46.7109375" style="74" bestFit="1" customWidth="1"/>
    <col min="9972" max="10210" width="8.85546875" style="74"/>
    <col min="10211" max="10211" width="61" style="74" customWidth="1"/>
    <col min="10212" max="10212" width="9.140625" style="74" customWidth="1"/>
    <col min="10213" max="10213" width="5.85546875" style="74" customWidth="1"/>
    <col min="10214" max="10214" width="5.140625" style="74" customWidth="1"/>
    <col min="10215" max="10215" width="18.140625" style="74" customWidth="1"/>
    <col min="10216" max="10216" width="8.5703125" style="74" customWidth="1"/>
    <col min="10217" max="10217" width="27.140625" style="74" customWidth="1"/>
    <col min="10218" max="10224" width="0" style="74" hidden="1" customWidth="1"/>
    <col min="10225" max="10225" width="12.42578125" style="74" bestFit="1" customWidth="1"/>
    <col min="10226" max="10226" width="13.28515625" style="74" bestFit="1" customWidth="1"/>
    <col min="10227" max="10227" width="46.7109375" style="74" bestFit="1" customWidth="1"/>
    <col min="10228" max="10466" width="8.85546875" style="74"/>
    <col min="10467" max="10467" width="61" style="74" customWidth="1"/>
    <col min="10468" max="10468" width="9.140625" style="74" customWidth="1"/>
    <col min="10469" max="10469" width="5.85546875" style="74" customWidth="1"/>
    <col min="10470" max="10470" width="5.140625" style="74" customWidth="1"/>
    <col min="10471" max="10471" width="18.140625" style="74" customWidth="1"/>
    <col min="10472" max="10472" width="8.5703125" style="74" customWidth="1"/>
    <col min="10473" max="10473" width="27.140625" style="74" customWidth="1"/>
    <col min="10474" max="10480" width="0" style="74" hidden="1" customWidth="1"/>
    <col min="10481" max="10481" width="12.42578125" style="74" bestFit="1" customWidth="1"/>
    <col min="10482" max="10482" width="13.28515625" style="74" bestFit="1" customWidth="1"/>
    <col min="10483" max="10483" width="46.7109375" style="74" bestFit="1" customWidth="1"/>
    <col min="10484" max="10722" width="8.85546875" style="74"/>
    <col min="10723" max="10723" width="61" style="74" customWidth="1"/>
    <col min="10724" max="10724" width="9.140625" style="74" customWidth="1"/>
    <col min="10725" max="10725" width="5.85546875" style="74" customWidth="1"/>
    <col min="10726" max="10726" width="5.140625" style="74" customWidth="1"/>
    <col min="10727" max="10727" width="18.140625" style="74" customWidth="1"/>
    <col min="10728" max="10728" width="8.5703125" style="74" customWidth="1"/>
    <col min="10729" max="10729" width="27.140625" style="74" customWidth="1"/>
    <col min="10730" max="10736" width="0" style="74" hidden="1" customWidth="1"/>
    <col min="10737" max="10737" width="12.42578125" style="74" bestFit="1" customWidth="1"/>
    <col min="10738" max="10738" width="13.28515625" style="74" bestFit="1" customWidth="1"/>
    <col min="10739" max="10739" width="46.7109375" style="74" bestFit="1" customWidth="1"/>
    <col min="10740" max="10978" width="8.85546875" style="74"/>
    <col min="10979" max="10979" width="61" style="74" customWidth="1"/>
    <col min="10980" max="10980" width="9.140625" style="74" customWidth="1"/>
    <col min="10981" max="10981" width="5.85546875" style="74" customWidth="1"/>
    <col min="10982" max="10982" width="5.140625" style="74" customWidth="1"/>
    <col min="10983" max="10983" width="18.140625" style="74" customWidth="1"/>
    <col min="10984" max="10984" width="8.5703125" style="74" customWidth="1"/>
    <col min="10985" max="10985" width="27.140625" style="74" customWidth="1"/>
    <col min="10986" max="10992" width="0" style="74" hidden="1" customWidth="1"/>
    <col min="10993" max="10993" width="12.42578125" style="74" bestFit="1" customWidth="1"/>
    <col min="10994" max="10994" width="13.28515625" style="74" bestFit="1" customWidth="1"/>
    <col min="10995" max="10995" width="46.7109375" style="74" bestFit="1" customWidth="1"/>
    <col min="10996" max="11234" width="8.85546875" style="74"/>
    <col min="11235" max="11235" width="61" style="74" customWidth="1"/>
    <col min="11236" max="11236" width="9.140625" style="74" customWidth="1"/>
    <col min="11237" max="11237" width="5.85546875" style="74" customWidth="1"/>
    <col min="11238" max="11238" width="5.140625" style="74" customWidth="1"/>
    <col min="11239" max="11239" width="18.140625" style="74" customWidth="1"/>
    <col min="11240" max="11240" width="8.5703125" style="74" customWidth="1"/>
    <col min="11241" max="11241" width="27.140625" style="74" customWidth="1"/>
    <col min="11242" max="11248" width="0" style="74" hidden="1" customWidth="1"/>
    <col min="11249" max="11249" width="12.42578125" style="74" bestFit="1" customWidth="1"/>
    <col min="11250" max="11250" width="13.28515625" style="74" bestFit="1" customWidth="1"/>
    <col min="11251" max="11251" width="46.7109375" style="74" bestFit="1" customWidth="1"/>
    <col min="11252" max="11490" width="8.85546875" style="74"/>
    <col min="11491" max="11491" width="61" style="74" customWidth="1"/>
    <col min="11492" max="11492" width="9.140625" style="74" customWidth="1"/>
    <col min="11493" max="11493" width="5.85546875" style="74" customWidth="1"/>
    <col min="11494" max="11494" width="5.140625" style="74" customWidth="1"/>
    <col min="11495" max="11495" width="18.140625" style="74" customWidth="1"/>
    <col min="11496" max="11496" width="8.5703125" style="74" customWidth="1"/>
    <col min="11497" max="11497" width="27.140625" style="74" customWidth="1"/>
    <col min="11498" max="11504" width="0" style="74" hidden="1" customWidth="1"/>
    <col min="11505" max="11505" width="12.42578125" style="74" bestFit="1" customWidth="1"/>
    <col min="11506" max="11506" width="13.28515625" style="74" bestFit="1" customWidth="1"/>
    <col min="11507" max="11507" width="46.7109375" style="74" bestFit="1" customWidth="1"/>
    <col min="11508" max="11746" width="8.85546875" style="74"/>
    <col min="11747" max="11747" width="61" style="74" customWidth="1"/>
    <col min="11748" max="11748" width="9.140625" style="74" customWidth="1"/>
    <col min="11749" max="11749" width="5.85546875" style="74" customWidth="1"/>
    <col min="11750" max="11750" width="5.140625" style="74" customWidth="1"/>
    <col min="11751" max="11751" width="18.140625" style="74" customWidth="1"/>
    <col min="11752" max="11752" width="8.5703125" style="74" customWidth="1"/>
    <col min="11753" max="11753" width="27.140625" style="74" customWidth="1"/>
    <col min="11754" max="11760" width="0" style="74" hidden="1" customWidth="1"/>
    <col min="11761" max="11761" width="12.42578125" style="74" bestFit="1" customWidth="1"/>
    <col min="11762" max="11762" width="13.28515625" style="74" bestFit="1" customWidth="1"/>
    <col min="11763" max="11763" width="46.7109375" style="74" bestFit="1" customWidth="1"/>
    <col min="11764" max="12002" width="8.85546875" style="74"/>
    <col min="12003" max="12003" width="61" style="74" customWidth="1"/>
    <col min="12004" max="12004" width="9.140625" style="74" customWidth="1"/>
    <col min="12005" max="12005" width="5.85546875" style="74" customWidth="1"/>
    <col min="12006" max="12006" width="5.140625" style="74" customWidth="1"/>
    <col min="12007" max="12007" width="18.140625" style="74" customWidth="1"/>
    <col min="12008" max="12008" width="8.5703125" style="74" customWidth="1"/>
    <col min="12009" max="12009" width="27.140625" style="74" customWidth="1"/>
    <col min="12010" max="12016" width="0" style="74" hidden="1" customWidth="1"/>
    <col min="12017" max="12017" width="12.42578125" style="74" bestFit="1" customWidth="1"/>
    <col min="12018" max="12018" width="13.28515625" style="74" bestFit="1" customWidth="1"/>
    <col min="12019" max="12019" width="46.7109375" style="74" bestFit="1" customWidth="1"/>
    <col min="12020" max="12258" width="8.85546875" style="74"/>
    <col min="12259" max="12259" width="61" style="74" customWidth="1"/>
    <col min="12260" max="12260" width="9.140625" style="74" customWidth="1"/>
    <col min="12261" max="12261" width="5.85546875" style="74" customWidth="1"/>
    <col min="12262" max="12262" width="5.140625" style="74" customWidth="1"/>
    <col min="12263" max="12263" width="18.140625" style="74" customWidth="1"/>
    <col min="12264" max="12264" width="8.5703125" style="74" customWidth="1"/>
    <col min="12265" max="12265" width="27.140625" style="74" customWidth="1"/>
    <col min="12266" max="12272" width="0" style="74" hidden="1" customWidth="1"/>
    <col min="12273" max="12273" width="12.42578125" style="74" bestFit="1" customWidth="1"/>
    <col min="12274" max="12274" width="13.28515625" style="74" bestFit="1" customWidth="1"/>
    <col min="12275" max="12275" width="46.7109375" style="74" bestFit="1" customWidth="1"/>
    <col min="12276" max="12514" width="8.85546875" style="74"/>
    <col min="12515" max="12515" width="61" style="74" customWidth="1"/>
    <col min="12516" max="12516" width="9.140625" style="74" customWidth="1"/>
    <col min="12517" max="12517" width="5.85546875" style="74" customWidth="1"/>
    <col min="12518" max="12518" width="5.140625" style="74" customWidth="1"/>
    <col min="12519" max="12519" width="18.140625" style="74" customWidth="1"/>
    <col min="12520" max="12520" width="8.5703125" style="74" customWidth="1"/>
    <col min="12521" max="12521" width="27.140625" style="74" customWidth="1"/>
    <col min="12522" max="12528" width="0" style="74" hidden="1" customWidth="1"/>
    <col min="12529" max="12529" width="12.42578125" style="74" bestFit="1" customWidth="1"/>
    <col min="12530" max="12530" width="13.28515625" style="74" bestFit="1" customWidth="1"/>
    <col min="12531" max="12531" width="46.7109375" style="74" bestFit="1" customWidth="1"/>
    <col min="12532" max="12770" width="8.85546875" style="74"/>
    <col min="12771" max="12771" width="61" style="74" customWidth="1"/>
    <col min="12772" max="12772" width="9.140625" style="74" customWidth="1"/>
    <col min="12773" max="12773" width="5.85546875" style="74" customWidth="1"/>
    <col min="12774" max="12774" width="5.140625" style="74" customWidth="1"/>
    <col min="12775" max="12775" width="18.140625" style="74" customWidth="1"/>
    <col min="12776" max="12776" width="8.5703125" style="74" customWidth="1"/>
    <col min="12777" max="12777" width="27.140625" style="74" customWidth="1"/>
    <col min="12778" max="12784" width="0" style="74" hidden="1" customWidth="1"/>
    <col min="12785" max="12785" width="12.42578125" style="74" bestFit="1" customWidth="1"/>
    <col min="12786" max="12786" width="13.28515625" style="74" bestFit="1" customWidth="1"/>
    <col min="12787" max="12787" width="46.7109375" style="74" bestFit="1" customWidth="1"/>
    <col min="12788" max="13026" width="8.85546875" style="74"/>
    <col min="13027" max="13027" width="61" style="74" customWidth="1"/>
    <col min="13028" max="13028" width="9.140625" style="74" customWidth="1"/>
    <col min="13029" max="13029" width="5.85546875" style="74" customWidth="1"/>
    <col min="13030" max="13030" width="5.140625" style="74" customWidth="1"/>
    <col min="13031" max="13031" width="18.140625" style="74" customWidth="1"/>
    <col min="13032" max="13032" width="8.5703125" style="74" customWidth="1"/>
    <col min="13033" max="13033" width="27.140625" style="74" customWidth="1"/>
    <col min="13034" max="13040" width="0" style="74" hidden="1" customWidth="1"/>
    <col min="13041" max="13041" width="12.42578125" style="74" bestFit="1" customWidth="1"/>
    <col min="13042" max="13042" width="13.28515625" style="74" bestFit="1" customWidth="1"/>
    <col min="13043" max="13043" width="46.7109375" style="74" bestFit="1" customWidth="1"/>
    <col min="13044" max="13282" width="8.85546875" style="74"/>
    <col min="13283" max="13283" width="61" style="74" customWidth="1"/>
    <col min="13284" max="13284" width="9.140625" style="74" customWidth="1"/>
    <col min="13285" max="13285" width="5.85546875" style="74" customWidth="1"/>
    <col min="13286" max="13286" width="5.140625" style="74" customWidth="1"/>
    <col min="13287" max="13287" width="18.140625" style="74" customWidth="1"/>
    <col min="13288" max="13288" width="8.5703125" style="74" customWidth="1"/>
    <col min="13289" max="13289" width="27.140625" style="74" customWidth="1"/>
    <col min="13290" max="13296" width="0" style="74" hidden="1" customWidth="1"/>
    <col min="13297" max="13297" width="12.42578125" style="74" bestFit="1" customWidth="1"/>
    <col min="13298" max="13298" width="13.28515625" style="74" bestFit="1" customWidth="1"/>
    <col min="13299" max="13299" width="46.7109375" style="74" bestFit="1" customWidth="1"/>
    <col min="13300" max="13538" width="8.85546875" style="74"/>
    <col min="13539" max="13539" width="61" style="74" customWidth="1"/>
    <col min="13540" max="13540" width="9.140625" style="74" customWidth="1"/>
    <col min="13541" max="13541" width="5.85546875" style="74" customWidth="1"/>
    <col min="13542" max="13542" width="5.140625" style="74" customWidth="1"/>
    <col min="13543" max="13543" width="18.140625" style="74" customWidth="1"/>
    <col min="13544" max="13544" width="8.5703125" style="74" customWidth="1"/>
    <col min="13545" max="13545" width="27.140625" style="74" customWidth="1"/>
    <col min="13546" max="13552" width="0" style="74" hidden="1" customWidth="1"/>
    <col min="13553" max="13553" width="12.42578125" style="74" bestFit="1" customWidth="1"/>
    <col min="13554" max="13554" width="13.28515625" style="74" bestFit="1" customWidth="1"/>
    <col min="13555" max="13555" width="46.7109375" style="74" bestFit="1" customWidth="1"/>
    <col min="13556" max="13794" width="8.85546875" style="74"/>
    <col min="13795" max="13795" width="61" style="74" customWidth="1"/>
    <col min="13796" max="13796" width="9.140625" style="74" customWidth="1"/>
    <col min="13797" max="13797" width="5.85546875" style="74" customWidth="1"/>
    <col min="13798" max="13798" width="5.140625" style="74" customWidth="1"/>
    <col min="13799" max="13799" width="18.140625" style="74" customWidth="1"/>
    <col min="13800" max="13800" width="8.5703125" style="74" customWidth="1"/>
    <col min="13801" max="13801" width="27.140625" style="74" customWidth="1"/>
    <col min="13802" max="13808" width="0" style="74" hidden="1" customWidth="1"/>
    <col min="13809" max="13809" width="12.42578125" style="74" bestFit="1" customWidth="1"/>
    <col min="13810" max="13810" width="13.28515625" style="74" bestFit="1" customWidth="1"/>
    <col min="13811" max="13811" width="46.7109375" style="74" bestFit="1" customWidth="1"/>
    <col min="13812" max="14050" width="8.85546875" style="74"/>
    <col min="14051" max="14051" width="61" style="74" customWidth="1"/>
    <col min="14052" max="14052" width="9.140625" style="74" customWidth="1"/>
    <col min="14053" max="14053" width="5.85546875" style="74" customWidth="1"/>
    <col min="14054" max="14054" width="5.140625" style="74" customWidth="1"/>
    <col min="14055" max="14055" width="18.140625" style="74" customWidth="1"/>
    <col min="14056" max="14056" width="8.5703125" style="74" customWidth="1"/>
    <col min="14057" max="14057" width="27.140625" style="74" customWidth="1"/>
    <col min="14058" max="14064" width="0" style="74" hidden="1" customWidth="1"/>
    <col min="14065" max="14065" width="12.42578125" style="74" bestFit="1" customWidth="1"/>
    <col min="14066" max="14066" width="13.28515625" style="74" bestFit="1" customWidth="1"/>
    <col min="14067" max="14067" width="46.7109375" style="74" bestFit="1" customWidth="1"/>
    <col min="14068" max="14306" width="8.85546875" style="74"/>
    <col min="14307" max="14307" width="61" style="74" customWidth="1"/>
    <col min="14308" max="14308" width="9.140625" style="74" customWidth="1"/>
    <col min="14309" max="14309" width="5.85546875" style="74" customWidth="1"/>
    <col min="14310" max="14310" width="5.140625" style="74" customWidth="1"/>
    <col min="14311" max="14311" width="18.140625" style="74" customWidth="1"/>
    <col min="14312" max="14312" width="8.5703125" style="74" customWidth="1"/>
    <col min="14313" max="14313" width="27.140625" style="74" customWidth="1"/>
    <col min="14314" max="14320" width="0" style="74" hidden="1" customWidth="1"/>
    <col min="14321" max="14321" width="12.42578125" style="74" bestFit="1" customWidth="1"/>
    <col min="14322" max="14322" width="13.28515625" style="74" bestFit="1" customWidth="1"/>
    <col min="14323" max="14323" width="46.7109375" style="74" bestFit="1" customWidth="1"/>
    <col min="14324" max="14562" width="8.85546875" style="74"/>
    <col min="14563" max="14563" width="61" style="74" customWidth="1"/>
    <col min="14564" max="14564" width="9.140625" style="74" customWidth="1"/>
    <col min="14565" max="14565" width="5.85546875" style="74" customWidth="1"/>
    <col min="14566" max="14566" width="5.140625" style="74" customWidth="1"/>
    <col min="14567" max="14567" width="18.140625" style="74" customWidth="1"/>
    <col min="14568" max="14568" width="8.5703125" style="74" customWidth="1"/>
    <col min="14569" max="14569" width="27.140625" style="74" customWidth="1"/>
    <col min="14570" max="14576" width="0" style="74" hidden="1" customWidth="1"/>
    <col min="14577" max="14577" width="12.42578125" style="74" bestFit="1" customWidth="1"/>
    <col min="14578" max="14578" width="13.28515625" style="74" bestFit="1" customWidth="1"/>
    <col min="14579" max="14579" width="46.7109375" style="74" bestFit="1" customWidth="1"/>
    <col min="14580" max="14818" width="8.85546875" style="74"/>
    <col min="14819" max="14819" width="61" style="74" customWidth="1"/>
    <col min="14820" max="14820" width="9.140625" style="74" customWidth="1"/>
    <col min="14821" max="14821" width="5.85546875" style="74" customWidth="1"/>
    <col min="14822" max="14822" width="5.140625" style="74" customWidth="1"/>
    <col min="14823" max="14823" width="18.140625" style="74" customWidth="1"/>
    <col min="14824" max="14824" width="8.5703125" style="74" customWidth="1"/>
    <col min="14825" max="14825" width="27.140625" style="74" customWidth="1"/>
    <col min="14826" max="14832" width="0" style="74" hidden="1" customWidth="1"/>
    <col min="14833" max="14833" width="12.42578125" style="74" bestFit="1" customWidth="1"/>
    <col min="14834" max="14834" width="13.28515625" style="74" bestFit="1" customWidth="1"/>
    <col min="14835" max="14835" width="46.7109375" style="74" bestFit="1" customWidth="1"/>
    <col min="14836" max="15074" width="8.85546875" style="74"/>
    <col min="15075" max="15075" width="61" style="74" customWidth="1"/>
    <col min="15076" max="15076" width="9.140625" style="74" customWidth="1"/>
    <col min="15077" max="15077" width="5.85546875" style="74" customWidth="1"/>
    <col min="15078" max="15078" width="5.140625" style="74" customWidth="1"/>
    <col min="15079" max="15079" width="18.140625" style="74" customWidth="1"/>
    <col min="15080" max="15080" width="8.5703125" style="74" customWidth="1"/>
    <col min="15081" max="15081" width="27.140625" style="74" customWidth="1"/>
    <col min="15082" max="15088" width="0" style="74" hidden="1" customWidth="1"/>
    <col min="15089" max="15089" width="12.42578125" style="74" bestFit="1" customWidth="1"/>
    <col min="15090" max="15090" width="13.28515625" style="74" bestFit="1" customWidth="1"/>
    <col min="15091" max="15091" width="46.7109375" style="74" bestFit="1" customWidth="1"/>
    <col min="15092" max="15330" width="8.85546875" style="74"/>
    <col min="15331" max="15331" width="61" style="74" customWidth="1"/>
    <col min="15332" max="15332" width="9.140625" style="74" customWidth="1"/>
    <col min="15333" max="15333" width="5.85546875" style="74" customWidth="1"/>
    <col min="15334" max="15334" width="5.140625" style="74" customWidth="1"/>
    <col min="15335" max="15335" width="18.140625" style="74" customWidth="1"/>
    <col min="15336" max="15336" width="8.5703125" style="74" customWidth="1"/>
    <col min="15337" max="15337" width="27.140625" style="74" customWidth="1"/>
    <col min="15338" max="15344" width="0" style="74" hidden="1" customWidth="1"/>
    <col min="15345" max="15345" width="12.42578125" style="74" bestFit="1" customWidth="1"/>
    <col min="15346" max="15346" width="13.28515625" style="74" bestFit="1" customWidth="1"/>
    <col min="15347" max="15347" width="46.7109375" style="74" bestFit="1" customWidth="1"/>
    <col min="15348" max="15586" width="8.85546875" style="74"/>
    <col min="15587" max="15587" width="61" style="74" customWidth="1"/>
    <col min="15588" max="15588" width="9.140625" style="74" customWidth="1"/>
    <col min="15589" max="15589" width="5.85546875" style="74" customWidth="1"/>
    <col min="15590" max="15590" width="5.140625" style="74" customWidth="1"/>
    <col min="15591" max="15591" width="18.140625" style="74" customWidth="1"/>
    <col min="15592" max="15592" width="8.5703125" style="74" customWidth="1"/>
    <col min="15593" max="15593" width="27.140625" style="74" customWidth="1"/>
    <col min="15594" max="15600" width="0" style="74" hidden="1" customWidth="1"/>
    <col min="15601" max="15601" width="12.42578125" style="74" bestFit="1" customWidth="1"/>
    <col min="15602" max="15602" width="13.28515625" style="74" bestFit="1" customWidth="1"/>
    <col min="15603" max="15603" width="46.7109375" style="74" bestFit="1" customWidth="1"/>
    <col min="15604" max="15842" width="8.85546875" style="74"/>
    <col min="15843" max="15843" width="61" style="74" customWidth="1"/>
    <col min="15844" max="15844" width="9.140625" style="74" customWidth="1"/>
    <col min="15845" max="15845" width="5.85546875" style="74" customWidth="1"/>
    <col min="15846" max="15846" width="5.140625" style="74" customWidth="1"/>
    <col min="15847" max="15847" width="18.140625" style="74" customWidth="1"/>
    <col min="15848" max="15848" width="8.5703125" style="74" customWidth="1"/>
    <col min="15849" max="15849" width="27.140625" style="74" customWidth="1"/>
    <col min="15850" max="15856" width="0" style="74" hidden="1" customWidth="1"/>
    <col min="15857" max="15857" width="12.42578125" style="74" bestFit="1" customWidth="1"/>
    <col min="15858" max="15858" width="13.28515625" style="74" bestFit="1" customWidth="1"/>
    <col min="15859" max="15859" width="46.7109375" style="74" bestFit="1" customWidth="1"/>
    <col min="15860" max="16098" width="8.85546875" style="74"/>
    <col min="16099" max="16099" width="61" style="74" customWidth="1"/>
    <col min="16100" max="16100" width="9.140625" style="74" customWidth="1"/>
    <col min="16101" max="16101" width="5.85546875" style="74" customWidth="1"/>
    <col min="16102" max="16102" width="5.140625" style="74" customWidth="1"/>
    <col min="16103" max="16103" width="18.140625" style="74" customWidth="1"/>
    <col min="16104" max="16104" width="8.5703125" style="74" customWidth="1"/>
    <col min="16105" max="16105" width="27.140625" style="74" customWidth="1"/>
    <col min="16106" max="16112" width="0" style="74" hidden="1" customWidth="1"/>
    <col min="16113" max="16113" width="12.42578125" style="74" bestFit="1" customWidth="1"/>
    <col min="16114" max="16114" width="13.28515625" style="74" bestFit="1" customWidth="1"/>
    <col min="16115" max="16115" width="46.7109375" style="74" bestFit="1" customWidth="1"/>
    <col min="16116" max="16384" width="8.85546875" style="74"/>
  </cols>
  <sheetData>
    <row r="1" spans="1:33" x14ac:dyDescent="0.25">
      <c r="G1" s="41" t="s">
        <v>686</v>
      </c>
    </row>
    <row r="2" spans="1:33" x14ac:dyDescent="0.25">
      <c r="G2" s="41" t="s">
        <v>1</v>
      </c>
    </row>
    <row r="3" spans="1:33" x14ac:dyDescent="0.25">
      <c r="G3" s="41" t="s">
        <v>2</v>
      </c>
    </row>
    <row r="4" spans="1:33" x14ac:dyDescent="0.25">
      <c r="G4" s="41" t="s">
        <v>3</v>
      </c>
    </row>
    <row r="5" spans="1:33" x14ac:dyDescent="0.25">
      <c r="G5" s="41" t="s">
        <v>4</v>
      </c>
    </row>
    <row r="6" spans="1:33" x14ac:dyDescent="0.25">
      <c r="G6" s="41" t="s">
        <v>694</v>
      </c>
    </row>
    <row r="7" spans="1:33" x14ac:dyDescent="0.25">
      <c r="G7" s="41" t="s">
        <v>693</v>
      </c>
    </row>
    <row r="9" spans="1:33" ht="91.15" customHeight="1" x14ac:dyDescent="0.25">
      <c r="A9" s="350" t="s">
        <v>213</v>
      </c>
      <c r="B9" s="350"/>
      <c r="C9" s="350"/>
      <c r="D9" s="350"/>
      <c r="E9" s="350"/>
      <c r="F9" s="350"/>
      <c r="G9" s="350"/>
      <c r="H9" s="350"/>
    </row>
    <row r="11" spans="1:33" x14ac:dyDescent="0.25">
      <c r="A11" s="75"/>
      <c r="F11" s="76"/>
    </row>
    <row r="12" spans="1:33" ht="30" x14ac:dyDescent="0.25">
      <c r="A12" s="77" t="s">
        <v>6</v>
      </c>
      <c r="B12" s="31" t="s">
        <v>7</v>
      </c>
      <c r="C12" s="31" t="s">
        <v>8</v>
      </c>
      <c r="D12" s="31" t="s">
        <v>9</v>
      </c>
      <c r="E12" s="31" t="s">
        <v>10</v>
      </c>
      <c r="F12" s="11" t="s">
        <v>11</v>
      </c>
      <c r="G12" s="11" t="s">
        <v>12</v>
      </c>
      <c r="H12" s="11" t="s">
        <v>143</v>
      </c>
    </row>
    <row r="13" spans="1:33" s="82" customFormat="1" ht="24" customHeight="1" x14ac:dyDescent="0.25">
      <c r="A13" s="78" t="s">
        <v>154</v>
      </c>
      <c r="B13" s="30"/>
      <c r="C13" s="30"/>
      <c r="D13" s="30"/>
      <c r="E13" s="30"/>
      <c r="F13" s="79">
        <f>F14+F190+F104+F117+F233+F223+F136+F148+F184</f>
        <v>1873026013.0433331</v>
      </c>
      <c r="G13" s="79">
        <f>G14+G190+G104+G117+G233+G223+G136+G148+G184</f>
        <v>950138337.37000012</v>
      </c>
      <c r="H13" s="79">
        <f>H14+H190+H104+H117+H233+H223+H136+H148+H184</f>
        <v>822216731.33000004</v>
      </c>
      <c r="I13" s="72"/>
      <c r="J13" s="69"/>
      <c r="K13" s="69"/>
      <c r="L13" s="69"/>
      <c r="M13" s="80"/>
      <c r="N13" s="80"/>
      <c r="O13" s="80"/>
      <c r="P13" s="80"/>
      <c r="Q13" s="80"/>
      <c r="R13" s="80"/>
      <c r="S13" s="80"/>
      <c r="T13" s="80"/>
      <c r="U13" s="80"/>
      <c r="V13" s="71"/>
      <c r="W13" s="71"/>
      <c r="X13" s="71"/>
      <c r="Y13" s="71"/>
      <c r="Z13" s="81"/>
      <c r="AA13" s="81"/>
      <c r="AB13" s="81"/>
      <c r="AC13" s="81"/>
      <c r="AD13" s="81"/>
      <c r="AE13" s="81"/>
      <c r="AF13" s="81"/>
      <c r="AG13" s="81"/>
    </row>
    <row r="14" spans="1:33" s="82" customFormat="1" x14ac:dyDescent="0.25">
      <c r="A14" s="18" t="s">
        <v>14</v>
      </c>
      <c r="B14" s="19" t="s">
        <v>15</v>
      </c>
      <c r="C14" s="19"/>
      <c r="D14" s="19"/>
      <c r="E14" s="19"/>
      <c r="F14" s="20">
        <f>F15+F20+F29+F37+F54+F59+F49</f>
        <v>788399387.9133333</v>
      </c>
      <c r="G14" s="20">
        <f>G15+G20+G29+G37+G54+G59+G49</f>
        <v>767822814.68000007</v>
      </c>
      <c r="H14" s="20">
        <f>H15+H20+H29+H37+H54+H59+H49</f>
        <v>768530908.73000002</v>
      </c>
      <c r="I14" s="72"/>
      <c r="J14" s="69"/>
      <c r="K14" s="69"/>
      <c r="L14" s="69"/>
      <c r="M14" s="69"/>
      <c r="N14" s="80"/>
      <c r="O14" s="80"/>
      <c r="P14" s="80"/>
      <c r="Q14" s="80"/>
      <c r="R14" s="80"/>
      <c r="S14" s="80"/>
      <c r="T14" s="80"/>
      <c r="U14" s="80"/>
      <c r="V14" s="71"/>
      <c r="W14" s="71"/>
      <c r="X14" s="71"/>
      <c r="Y14" s="71"/>
      <c r="Z14" s="81"/>
      <c r="AA14" s="81"/>
      <c r="AB14" s="81"/>
      <c r="AC14" s="81"/>
      <c r="AD14" s="81"/>
      <c r="AE14" s="81"/>
      <c r="AF14" s="81"/>
      <c r="AG14" s="81"/>
    </row>
    <row r="15" spans="1:33" s="82" customFormat="1" ht="47.25" x14ac:dyDescent="0.25">
      <c r="A15" s="18" t="s">
        <v>16</v>
      </c>
      <c r="B15" s="19" t="s">
        <v>15</v>
      </c>
      <c r="C15" s="19" t="s">
        <v>17</v>
      </c>
      <c r="D15" s="19"/>
      <c r="E15" s="19"/>
      <c r="F15" s="259">
        <f t="shared" ref="F15:H18" si="0">F16</f>
        <v>9081110</v>
      </c>
      <c r="G15" s="259">
        <f t="shared" si="0"/>
        <v>9085598</v>
      </c>
      <c r="H15" s="259">
        <f t="shared" si="0"/>
        <v>8999510</v>
      </c>
      <c r="I15" s="72"/>
      <c r="J15" s="72"/>
      <c r="K15" s="72"/>
      <c r="L15" s="69"/>
      <c r="M15" s="80"/>
      <c r="N15" s="80"/>
      <c r="O15" s="80"/>
      <c r="P15" s="80"/>
      <c r="Q15" s="80"/>
      <c r="R15" s="80"/>
      <c r="S15" s="80"/>
      <c r="T15" s="80"/>
      <c r="U15" s="80"/>
      <c r="V15" s="71"/>
      <c r="W15" s="71"/>
      <c r="X15" s="71"/>
      <c r="Y15" s="71"/>
      <c r="Z15" s="81"/>
      <c r="AA15" s="81"/>
      <c r="AB15" s="81"/>
      <c r="AC15" s="81"/>
      <c r="AD15" s="81"/>
      <c r="AE15" s="81"/>
      <c r="AF15" s="81"/>
      <c r="AG15" s="81"/>
    </row>
    <row r="16" spans="1:33" s="82" customFormat="1" x14ac:dyDescent="0.25">
      <c r="A16" s="18" t="s">
        <v>18</v>
      </c>
      <c r="B16" s="19" t="s">
        <v>15</v>
      </c>
      <c r="C16" s="19" t="s">
        <v>17</v>
      </c>
      <c r="D16" s="19" t="s">
        <v>19</v>
      </c>
      <c r="E16" s="19"/>
      <c r="F16" s="259">
        <f t="shared" si="0"/>
        <v>9081110</v>
      </c>
      <c r="G16" s="259">
        <f t="shared" si="0"/>
        <v>9085598</v>
      </c>
      <c r="H16" s="259">
        <f t="shared" si="0"/>
        <v>8999510</v>
      </c>
      <c r="I16" s="72"/>
      <c r="J16" s="69"/>
      <c r="K16" s="69"/>
      <c r="L16" s="69"/>
      <c r="M16" s="80"/>
      <c r="N16" s="80"/>
      <c r="O16" s="80"/>
      <c r="P16" s="80"/>
      <c r="Q16" s="80"/>
      <c r="R16" s="80"/>
      <c r="S16" s="80"/>
      <c r="T16" s="80"/>
      <c r="U16" s="80"/>
      <c r="V16" s="71"/>
      <c r="W16" s="71"/>
      <c r="X16" s="71"/>
      <c r="Y16" s="71"/>
      <c r="Z16" s="81"/>
      <c r="AA16" s="81"/>
      <c r="AB16" s="81"/>
      <c r="AC16" s="81"/>
      <c r="AD16" s="81"/>
      <c r="AE16" s="81"/>
      <c r="AF16" s="81"/>
      <c r="AG16" s="81"/>
    </row>
    <row r="17" spans="1:33" ht="30.75" x14ac:dyDescent="0.25">
      <c r="A17" s="22" t="s">
        <v>20</v>
      </c>
      <c r="B17" s="23" t="s">
        <v>15</v>
      </c>
      <c r="C17" s="23" t="s">
        <v>17</v>
      </c>
      <c r="D17" s="23" t="s">
        <v>21</v>
      </c>
      <c r="E17" s="23"/>
      <c r="F17" s="260">
        <f t="shared" si="0"/>
        <v>9081110</v>
      </c>
      <c r="G17" s="260">
        <f t="shared" si="0"/>
        <v>9085598</v>
      </c>
      <c r="H17" s="260">
        <f t="shared" si="0"/>
        <v>8999510</v>
      </c>
    </row>
    <row r="18" spans="1:33" x14ac:dyDescent="0.25">
      <c r="A18" s="22" t="s">
        <v>155</v>
      </c>
      <c r="B18" s="23" t="s">
        <v>15</v>
      </c>
      <c r="C18" s="23" t="s">
        <v>17</v>
      </c>
      <c r="D18" s="23" t="s">
        <v>156</v>
      </c>
      <c r="E18" s="23"/>
      <c r="F18" s="260">
        <f t="shared" si="0"/>
        <v>9081110</v>
      </c>
      <c r="G18" s="260">
        <f t="shared" si="0"/>
        <v>9085598</v>
      </c>
      <c r="H18" s="260">
        <f t="shared" si="0"/>
        <v>8999510</v>
      </c>
    </row>
    <row r="19" spans="1:33" ht="75.75" x14ac:dyDescent="0.25">
      <c r="A19" s="22" t="s">
        <v>22</v>
      </c>
      <c r="B19" s="23" t="s">
        <v>15</v>
      </c>
      <c r="C19" s="23" t="s">
        <v>17</v>
      </c>
      <c r="D19" s="23" t="s">
        <v>156</v>
      </c>
      <c r="E19" s="23" t="s">
        <v>23</v>
      </c>
      <c r="F19" s="261">
        <v>9081110</v>
      </c>
      <c r="G19" s="261">
        <v>9085598</v>
      </c>
      <c r="H19" s="261">
        <v>8999510</v>
      </c>
    </row>
    <row r="20" spans="1:33" s="82" customFormat="1" ht="63" x14ac:dyDescent="0.25">
      <c r="A20" s="18" t="s">
        <v>24</v>
      </c>
      <c r="B20" s="19" t="s">
        <v>15</v>
      </c>
      <c r="C20" s="19" t="s">
        <v>25</v>
      </c>
      <c r="D20" s="19"/>
      <c r="E20" s="19"/>
      <c r="F20" s="259">
        <f t="shared" ref="F20:H21" si="1">F21</f>
        <v>9442281.120000001</v>
      </c>
      <c r="G20" s="259">
        <f t="shared" si="1"/>
        <v>5072585.76</v>
      </c>
      <c r="H20" s="259">
        <f t="shared" si="1"/>
        <v>5311265.62</v>
      </c>
      <c r="I20" s="72"/>
      <c r="J20" s="69"/>
      <c r="K20" s="69"/>
      <c r="L20" s="69"/>
      <c r="M20" s="80"/>
      <c r="N20" s="80"/>
      <c r="O20" s="80"/>
      <c r="P20" s="80"/>
      <c r="Q20" s="80"/>
      <c r="R20" s="80"/>
      <c r="S20" s="80"/>
      <c r="T20" s="80"/>
      <c r="U20" s="80"/>
      <c r="V20" s="71"/>
      <c r="W20" s="71"/>
      <c r="X20" s="71"/>
      <c r="Y20" s="71"/>
      <c r="Z20" s="81"/>
      <c r="AA20" s="81"/>
      <c r="AB20" s="81"/>
      <c r="AC20" s="81"/>
      <c r="AD20" s="81"/>
      <c r="AE20" s="81"/>
      <c r="AF20" s="81"/>
      <c r="AG20" s="81"/>
    </row>
    <row r="21" spans="1:33" s="82" customFormat="1" x14ac:dyDescent="0.25">
      <c r="A21" s="18" t="s">
        <v>18</v>
      </c>
      <c r="B21" s="19" t="s">
        <v>15</v>
      </c>
      <c r="C21" s="19" t="s">
        <v>25</v>
      </c>
      <c r="D21" s="19" t="s">
        <v>19</v>
      </c>
      <c r="E21" s="19"/>
      <c r="F21" s="259">
        <f t="shared" si="1"/>
        <v>9442281.120000001</v>
      </c>
      <c r="G21" s="259">
        <f t="shared" si="1"/>
        <v>5072585.76</v>
      </c>
      <c r="H21" s="259">
        <f t="shared" si="1"/>
        <v>5311265.62</v>
      </c>
      <c r="I21" s="72"/>
      <c r="J21" s="69"/>
      <c r="K21" s="69"/>
      <c r="L21" s="69"/>
      <c r="M21" s="80"/>
      <c r="N21" s="80"/>
      <c r="O21" s="80"/>
      <c r="P21" s="80"/>
      <c r="Q21" s="80"/>
      <c r="R21" s="80"/>
      <c r="S21" s="80"/>
      <c r="T21" s="80"/>
      <c r="U21" s="80"/>
      <c r="V21" s="71"/>
      <c r="W21" s="71"/>
      <c r="X21" s="71"/>
      <c r="Y21" s="71"/>
      <c r="Z21" s="81"/>
      <c r="AA21" s="81"/>
      <c r="AB21" s="81"/>
      <c r="AC21" s="81"/>
      <c r="AD21" s="81"/>
      <c r="AE21" s="81"/>
      <c r="AF21" s="81"/>
      <c r="AG21" s="81"/>
    </row>
    <row r="22" spans="1:33" ht="30.75" x14ac:dyDescent="0.25">
      <c r="A22" s="22" t="s">
        <v>20</v>
      </c>
      <c r="B22" s="23" t="s">
        <v>15</v>
      </c>
      <c r="C22" s="23" t="s">
        <v>25</v>
      </c>
      <c r="D22" s="23" t="s">
        <v>21</v>
      </c>
      <c r="E22" s="23"/>
      <c r="F22" s="260">
        <f>F25+F23</f>
        <v>9442281.120000001</v>
      </c>
      <c r="G22" s="260">
        <f>G25+G23</f>
        <v>5072585.76</v>
      </c>
      <c r="H22" s="260">
        <f>H25+H23</f>
        <v>5311265.62</v>
      </c>
    </row>
    <row r="23" spans="1:33" ht="30.75" x14ac:dyDescent="0.25">
      <c r="A23" s="22" t="s">
        <v>545</v>
      </c>
      <c r="B23" s="23" t="s">
        <v>15</v>
      </c>
      <c r="C23" s="23" t="s">
        <v>25</v>
      </c>
      <c r="D23" s="23" t="s">
        <v>544</v>
      </c>
      <c r="E23" s="23"/>
      <c r="F23" s="260">
        <f>F24</f>
        <v>4649025.25</v>
      </c>
      <c r="G23" s="260">
        <f>G24</f>
        <v>0</v>
      </c>
      <c r="H23" s="260">
        <f>H24</f>
        <v>0</v>
      </c>
    </row>
    <row r="24" spans="1:33" ht="75.75" x14ac:dyDescent="0.25">
      <c r="A24" s="22" t="s">
        <v>22</v>
      </c>
      <c r="B24" s="23" t="s">
        <v>15</v>
      </c>
      <c r="C24" s="23" t="s">
        <v>25</v>
      </c>
      <c r="D24" s="23" t="s">
        <v>544</v>
      </c>
      <c r="E24" s="23" t="s">
        <v>23</v>
      </c>
      <c r="F24" s="260">
        <v>4649025.25</v>
      </c>
      <c r="G24" s="260">
        <v>0</v>
      </c>
      <c r="H24" s="260">
        <v>0</v>
      </c>
    </row>
    <row r="25" spans="1:33" ht="30.75" x14ac:dyDescent="0.25">
      <c r="A25" s="32" t="s">
        <v>157</v>
      </c>
      <c r="B25" s="23" t="s">
        <v>15</v>
      </c>
      <c r="C25" s="23" t="s">
        <v>25</v>
      </c>
      <c r="D25" s="23" t="s">
        <v>158</v>
      </c>
      <c r="E25" s="23"/>
      <c r="F25" s="260">
        <f>F26+F27+F28</f>
        <v>4793255.87</v>
      </c>
      <c r="G25" s="260">
        <f>G26+G27+G28</f>
        <v>5072585.76</v>
      </c>
      <c r="H25" s="260">
        <f>H26+H27+H28</f>
        <v>5311265.62</v>
      </c>
    </row>
    <row r="26" spans="1:33" ht="75.75" x14ac:dyDescent="0.25">
      <c r="A26" s="22" t="s">
        <v>22</v>
      </c>
      <c r="B26" s="23" t="s">
        <v>15</v>
      </c>
      <c r="C26" s="23" t="s">
        <v>25</v>
      </c>
      <c r="D26" s="23" t="s">
        <v>158</v>
      </c>
      <c r="E26" s="23" t="s">
        <v>23</v>
      </c>
      <c r="F26" s="261">
        <f>847154.58+1111764.83</f>
        <v>1958919.4100000001</v>
      </c>
      <c r="G26" s="261">
        <v>847154.58</v>
      </c>
      <c r="H26" s="261">
        <v>874470.08</v>
      </c>
    </row>
    <row r="27" spans="1:33" ht="30.75" x14ac:dyDescent="0.25">
      <c r="A27" s="22" t="s">
        <v>26</v>
      </c>
      <c r="B27" s="23" t="s">
        <v>15</v>
      </c>
      <c r="C27" s="23" t="s">
        <v>25</v>
      </c>
      <c r="D27" s="23" t="s">
        <v>158</v>
      </c>
      <c r="E27" s="23" t="s">
        <v>27</v>
      </c>
      <c r="F27" s="261">
        <f>4061701.29-135600-1111764.83</f>
        <v>2814336.46</v>
      </c>
      <c r="G27" s="261">
        <f>4338089.18-143058</f>
        <v>4195031.18</v>
      </c>
      <c r="H27" s="261">
        <f>4555311.76-150497.02</f>
        <v>4404814.74</v>
      </c>
    </row>
    <row r="28" spans="1:33" x14ac:dyDescent="0.25">
      <c r="A28" s="22" t="s">
        <v>28</v>
      </c>
      <c r="B28" s="23" t="s">
        <v>15</v>
      </c>
      <c r="C28" s="23" t="s">
        <v>25</v>
      </c>
      <c r="D28" s="23" t="s">
        <v>158</v>
      </c>
      <c r="E28" s="23" t="s">
        <v>29</v>
      </c>
      <c r="F28" s="260">
        <v>20000</v>
      </c>
      <c r="G28" s="260">
        <v>30400</v>
      </c>
      <c r="H28" s="261">
        <v>31980.799999999999</v>
      </c>
    </row>
    <row r="29" spans="1:33" s="82" customFormat="1" ht="78.75" x14ac:dyDescent="0.25">
      <c r="A29" s="26" t="s">
        <v>535</v>
      </c>
      <c r="B29" s="19" t="s">
        <v>15</v>
      </c>
      <c r="C29" s="19" t="s">
        <v>30</v>
      </c>
      <c r="D29" s="19"/>
      <c r="E29" s="19"/>
      <c r="F29" s="259">
        <f t="shared" ref="F29:H31" si="2">F30</f>
        <v>75691819.109999999</v>
      </c>
      <c r="G29" s="259">
        <f t="shared" si="2"/>
        <v>77202429.319999993</v>
      </c>
      <c r="H29" s="259">
        <f t="shared" si="2"/>
        <v>77701079.309999987</v>
      </c>
      <c r="I29" s="72"/>
      <c r="J29" s="69"/>
      <c r="K29" s="69"/>
      <c r="L29" s="69"/>
      <c r="M29" s="80"/>
      <c r="N29" s="80"/>
      <c r="O29" s="80"/>
      <c r="P29" s="80"/>
      <c r="Q29" s="80"/>
      <c r="R29" s="80"/>
      <c r="S29" s="80"/>
      <c r="T29" s="80"/>
      <c r="U29" s="80"/>
      <c r="V29" s="71"/>
      <c r="W29" s="71"/>
      <c r="X29" s="71"/>
      <c r="Y29" s="71"/>
      <c r="Z29" s="81"/>
      <c r="AA29" s="81"/>
      <c r="AB29" s="81"/>
      <c r="AC29" s="81"/>
      <c r="AD29" s="81"/>
      <c r="AE29" s="81"/>
      <c r="AF29" s="81"/>
      <c r="AG29" s="81"/>
    </row>
    <row r="30" spans="1:33" s="82" customFormat="1" x14ac:dyDescent="0.25">
      <c r="A30" s="18" t="s">
        <v>18</v>
      </c>
      <c r="B30" s="19" t="s">
        <v>15</v>
      </c>
      <c r="C30" s="19" t="s">
        <v>30</v>
      </c>
      <c r="D30" s="19" t="s">
        <v>19</v>
      </c>
      <c r="E30" s="19"/>
      <c r="F30" s="259">
        <f t="shared" si="2"/>
        <v>75691819.109999999</v>
      </c>
      <c r="G30" s="259">
        <f t="shared" si="2"/>
        <v>77202429.319999993</v>
      </c>
      <c r="H30" s="259">
        <f t="shared" si="2"/>
        <v>77701079.309999987</v>
      </c>
      <c r="I30" s="72"/>
      <c r="J30" s="69"/>
      <c r="K30" s="69"/>
      <c r="L30" s="69"/>
      <c r="M30" s="80"/>
      <c r="N30" s="80"/>
      <c r="O30" s="80"/>
      <c r="P30" s="80"/>
      <c r="Q30" s="80"/>
      <c r="R30" s="80"/>
      <c r="S30" s="80"/>
      <c r="T30" s="80"/>
      <c r="U30" s="80"/>
      <c r="V30" s="71"/>
      <c r="W30" s="71"/>
      <c r="X30" s="71"/>
      <c r="Y30" s="71"/>
      <c r="Z30" s="81"/>
      <c r="AA30" s="81"/>
      <c r="AB30" s="81"/>
      <c r="AC30" s="81"/>
      <c r="AD30" s="81"/>
      <c r="AE30" s="81"/>
      <c r="AF30" s="81"/>
      <c r="AG30" s="81"/>
    </row>
    <row r="31" spans="1:33" ht="30.75" x14ac:dyDescent="0.25">
      <c r="A31" s="22" t="s">
        <v>20</v>
      </c>
      <c r="B31" s="23" t="s">
        <v>15</v>
      </c>
      <c r="C31" s="23" t="s">
        <v>30</v>
      </c>
      <c r="D31" s="23" t="s">
        <v>21</v>
      </c>
      <c r="E31" s="23"/>
      <c r="F31" s="260">
        <f t="shared" si="2"/>
        <v>75691819.109999999</v>
      </c>
      <c r="G31" s="260">
        <f t="shared" si="2"/>
        <v>77202429.319999993</v>
      </c>
      <c r="H31" s="260">
        <f t="shared" si="2"/>
        <v>77701079.309999987</v>
      </c>
    </row>
    <row r="32" spans="1:33" ht="30.75" x14ac:dyDescent="0.25">
      <c r="A32" s="22" t="s">
        <v>159</v>
      </c>
      <c r="B32" s="23" t="s">
        <v>15</v>
      </c>
      <c r="C32" s="23" t="s">
        <v>30</v>
      </c>
      <c r="D32" s="23" t="s">
        <v>160</v>
      </c>
      <c r="E32" s="23"/>
      <c r="F32" s="260">
        <f>F33+F34+F35+F36</f>
        <v>75691819.109999999</v>
      </c>
      <c r="G32" s="260">
        <f>G33+G34+G35+G36</f>
        <v>77202429.319999993</v>
      </c>
      <c r="H32" s="260">
        <f>H33+H34+H35+H36</f>
        <v>77701079.309999987</v>
      </c>
    </row>
    <row r="33" spans="1:33" ht="75.75" x14ac:dyDescent="0.25">
      <c r="A33" s="22" t="s">
        <v>22</v>
      </c>
      <c r="B33" s="23" t="s">
        <v>15</v>
      </c>
      <c r="C33" s="23" t="s">
        <v>30</v>
      </c>
      <c r="D33" s="23" t="s">
        <v>160</v>
      </c>
      <c r="E33" s="23" t="s">
        <v>23</v>
      </c>
      <c r="F33" s="261">
        <v>70327780.310000002</v>
      </c>
      <c r="G33" s="261">
        <v>70532182.319999993</v>
      </c>
      <c r="H33" s="261">
        <v>70736065.319999993</v>
      </c>
    </row>
    <row r="34" spans="1:33" ht="30.75" x14ac:dyDescent="0.25">
      <c r="A34" s="22" t="s">
        <v>26</v>
      </c>
      <c r="B34" s="23" t="s">
        <v>15</v>
      </c>
      <c r="C34" s="23" t="s">
        <v>30</v>
      </c>
      <c r="D34" s="23" t="s">
        <v>160</v>
      </c>
      <c r="E34" s="23" t="s">
        <v>27</v>
      </c>
      <c r="F34" s="261">
        <f>6868597-1105600-646210+92281.8</f>
        <v>5209068.8</v>
      </c>
      <c r="G34" s="261">
        <f>7197027-681750</f>
        <v>6515277</v>
      </c>
      <c r="H34" s="261">
        <f>7527244.99-717201</f>
        <v>6810043.9900000002</v>
      </c>
    </row>
    <row r="35" spans="1:33" ht="30.75" hidden="1" x14ac:dyDescent="0.25">
      <c r="A35" s="22" t="s">
        <v>52</v>
      </c>
      <c r="B35" s="23" t="s">
        <v>15</v>
      </c>
      <c r="C35" s="23" t="s">
        <v>30</v>
      </c>
      <c r="D35" s="23" t="s">
        <v>160</v>
      </c>
      <c r="E35" s="23" t="s">
        <v>53</v>
      </c>
      <c r="F35" s="261"/>
      <c r="G35" s="261"/>
      <c r="H35" s="261"/>
    </row>
    <row r="36" spans="1:33" x14ac:dyDescent="0.25">
      <c r="A36" s="22" t="s">
        <v>28</v>
      </c>
      <c r="B36" s="23" t="s">
        <v>15</v>
      </c>
      <c r="C36" s="23" t="s">
        <v>30</v>
      </c>
      <c r="D36" s="23" t="s">
        <v>160</v>
      </c>
      <c r="E36" s="23" t="s">
        <v>29</v>
      </c>
      <c r="F36" s="261">
        <v>154970</v>
      </c>
      <c r="G36" s="261">
        <v>154970</v>
      </c>
      <c r="H36" s="261">
        <v>154970</v>
      </c>
    </row>
    <row r="37" spans="1:33" s="82" customFormat="1" ht="63" x14ac:dyDescent="0.25">
      <c r="A37" s="18" t="s">
        <v>31</v>
      </c>
      <c r="B37" s="19" t="s">
        <v>15</v>
      </c>
      <c r="C37" s="19" t="s">
        <v>32</v>
      </c>
      <c r="D37" s="19"/>
      <c r="E37" s="19"/>
      <c r="F37" s="259">
        <f>F38</f>
        <v>46605836.530000001</v>
      </c>
      <c r="G37" s="259">
        <f>G38</f>
        <v>46937865.759999998</v>
      </c>
      <c r="H37" s="259">
        <f>H38</f>
        <v>46445563.060000002</v>
      </c>
      <c r="I37" s="72"/>
      <c r="J37" s="69"/>
      <c r="K37" s="69"/>
      <c r="L37" s="69"/>
      <c r="M37" s="80"/>
      <c r="N37" s="80"/>
      <c r="O37" s="80"/>
      <c r="P37" s="80"/>
      <c r="Q37" s="80"/>
      <c r="R37" s="80"/>
      <c r="S37" s="80"/>
      <c r="T37" s="80"/>
      <c r="U37" s="80"/>
      <c r="V37" s="71"/>
      <c r="W37" s="71"/>
      <c r="X37" s="71"/>
      <c r="Y37" s="71"/>
      <c r="Z37" s="81"/>
      <c r="AA37" s="81"/>
      <c r="AB37" s="81"/>
      <c r="AC37" s="81"/>
      <c r="AD37" s="81"/>
      <c r="AE37" s="81"/>
      <c r="AF37" s="81"/>
      <c r="AG37" s="81"/>
    </row>
    <row r="38" spans="1:33" s="82" customFormat="1" x14ac:dyDescent="0.25">
      <c r="A38" s="18" t="s">
        <v>18</v>
      </c>
      <c r="B38" s="19" t="s">
        <v>15</v>
      </c>
      <c r="C38" s="19" t="s">
        <v>32</v>
      </c>
      <c r="D38" s="19" t="s">
        <v>19</v>
      </c>
      <c r="E38" s="19"/>
      <c r="F38" s="259">
        <f>F39+F46</f>
        <v>46605836.530000001</v>
      </c>
      <c r="G38" s="259">
        <f>G39+G46</f>
        <v>46937865.759999998</v>
      </c>
      <c r="H38" s="259">
        <f>H39+H46</f>
        <v>46445563.060000002</v>
      </c>
      <c r="I38" s="72"/>
      <c r="J38" s="69"/>
      <c r="K38" s="69"/>
      <c r="L38" s="69"/>
      <c r="M38" s="80"/>
      <c r="N38" s="80"/>
      <c r="O38" s="80"/>
      <c r="P38" s="80"/>
      <c r="Q38" s="80"/>
      <c r="R38" s="80"/>
      <c r="S38" s="80"/>
      <c r="T38" s="80"/>
      <c r="U38" s="80"/>
      <c r="V38" s="71"/>
      <c r="W38" s="71"/>
      <c r="X38" s="71"/>
      <c r="Y38" s="71"/>
      <c r="Z38" s="81"/>
      <c r="AA38" s="81"/>
      <c r="AB38" s="81"/>
      <c r="AC38" s="81"/>
      <c r="AD38" s="81"/>
      <c r="AE38" s="81"/>
      <c r="AF38" s="81"/>
      <c r="AG38" s="81"/>
    </row>
    <row r="39" spans="1:33" ht="30.75" x14ac:dyDescent="0.25">
      <c r="A39" s="22" t="s">
        <v>20</v>
      </c>
      <c r="B39" s="23" t="s">
        <v>15</v>
      </c>
      <c r="C39" s="23" t="s">
        <v>32</v>
      </c>
      <c r="D39" s="23" t="s">
        <v>21</v>
      </c>
      <c r="E39" s="23"/>
      <c r="F39" s="260">
        <f>F40+F42</f>
        <v>12369626.530000001</v>
      </c>
      <c r="G39" s="260">
        <f>G40+G42</f>
        <v>12608455.76</v>
      </c>
      <c r="H39" s="260">
        <f>H40+H42</f>
        <v>12536153.059999999</v>
      </c>
    </row>
    <row r="40" spans="1:33" ht="30.75" x14ac:dyDescent="0.25">
      <c r="A40" s="22" t="s">
        <v>161</v>
      </c>
      <c r="B40" s="23" t="s">
        <v>15</v>
      </c>
      <c r="C40" s="23" t="s">
        <v>32</v>
      </c>
      <c r="D40" s="23" t="s">
        <v>162</v>
      </c>
      <c r="E40" s="23"/>
      <c r="F40" s="260">
        <f>F41</f>
        <v>4182138</v>
      </c>
      <c r="G40" s="260">
        <f>G41</f>
        <v>4002138</v>
      </c>
      <c r="H40" s="260">
        <f>H41</f>
        <v>4182138</v>
      </c>
    </row>
    <row r="41" spans="1:33" ht="75.75" x14ac:dyDescent="0.25">
      <c r="A41" s="22" t="s">
        <v>22</v>
      </c>
      <c r="B41" s="23" t="s">
        <v>15</v>
      </c>
      <c r="C41" s="23" t="s">
        <v>32</v>
      </c>
      <c r="D41" s="23" t="s">
        <v>162</v>
      </c>
      <c r="E41" s="23" t="s">
        <v>23</v>
      </c>
      <c r="F41" s="260">
        <v>4182138</v>
      </c>
      <c r="G41" s="260">
        <v>4002138</v>
      </c>
      <c r="H41" s="260">
        <v>4182138</v>
      </c>
    </row>
    <row r="42" spans="1:33" ht="30.75" x14ac:dyDescent="0.25">
      <c r="A42" s="22" t="s">
        <v>159</v>
      </c>
      <c r="B42" s="23" t="s">
        <v>15</v>
      </c>
      <c r="C42" s="23" t="s">
        <v>32</v>
      </c>
      <c r="D42" s="23" t="s">
        <v>160</v>
      </c>
      <c r="E42" s="23"/>
      <c r="F42" s="260">
        <f>F43+F44+F45</f>
        <v>8187488.5300000003</v>
      </c>
      <c r="G42" s="260">
        <f>G43+G44+G45</f>
        <v>8606317.7599999998</v>
      </c>
      <c r="H42" s="260">
        <f>H43+H44+H45</f>
        <v>8354015.0599999996</v>
      </c>
    </row>
    <row r="43" spans="1:33" ht="75.75" x14ac:dyDescent="0.25">
      <c r="A43" s="22" t="s">
        <v>22</v>
      </c>
      <c r="B43" s="23" t="s">
        <v>15</v>
      </c>
      <c r="C43" s="23" t="s">
        <v>32</v>
      </c>
      <c r="D43" s="23" t="s">
        <v>160</v>
      </c>
      <c r="E43" s="23" t="s">
        <v>23</v>
      </c>
      <c r="F43" s="261">
        <v>6937066.5300000003</v>
      </c>
      <c r="G43" s="261">
        <v>7291393.4100000001</v>
      </c>
      <c r="H43" s="261">
        <v>6973673.6399999997</v>
      </c>
    </row>
    <row r="44" spans="1:33" ht="30.75" x14ac:dyDescent="0.25">
      <c r="A44" s="22" t="s">
        <v>26</v>
      </c>
      <c r="B44" s="23" t="s">
        <v>15</v>
      </c>
      <c r="C44" s="23" t="s">
        <v>32</v>
      </c>
      <c r="D44" s="23" t="s">
        <v>160</v>
      </c>
      <c r="E44" s="23" t="s">
        <v>27</v>
      </c>
      <c r="F44" s="261">
        <f>1349135-98713</f>
        <v>1250422</v>
      </c>
      <c r="G44" s="261">
        <f>1413637.35-98713</f>
        <v>1314924.3500000001</v>
      </c>
      <c r="H44" s="261">
        <f>1479054.42-98713</f>
        <v>1380341.42</v>
      </c>
    </row>
    <row r="45" spans="1:33" ht="30.75" hidden="1" x14ac:dyDescent="0.25">
      <c r="A45" s="22" t="s">
        <v>52</v>
      </c>
      <c r="B45" s="23" t="s">
        <v>15</v>
      </c>
      <c r="C45" s="23" t="s">
        <v>32</v>
      </c>
      <c r="D45" s="23" t="s">
        <v>160</v>
      </c>
      <c r="E45" s="23" t="s">
        <v>53</v>
      </c>
      <c r="F45" s="261">
        <v>0</v>
      </c>
      <c r="G45" s="261">
        <v>0</v>
      </c>
      <c r="H45" s="261"/>
    </row>
    <row r="46" spans="1:33" ht="30.75" x14ac:dyDescent="0.25">
      <c r="A46" s="22" t="s">
        <v>159</v>
      </c>
      <c r="B46" s="23" t="s">
        <v>15</v>
      </c>
      <c r="C46" s="23" t="s">
        <v>32</v>
      </c>
      <c r="D46" s="23" t="s">
        <v>160</v>
      </c>
      <c r="E46" s="23"/>
      <c r="F46" s="260">
        <f>F47+F48</f>
        <v>34236210</v>
      </c>
      <c r="G46" s="260">
        <f>G47+G48</f>
        <v>34329410</v>
      </c>
      <c r="H46" s="260">
        <f>H47+H48</f>
        <v>33909410</v>
      </c>
    </row>
    <row r="47" spans="1:33" ht="75.75" x14ac:dyDescent="0.25">
      <c r="A47" s="22" t="s">
        <v>22</v>
      </c>
      <c r="B47" s="23" t="s">
        <v>15</v>
      </c>
      <c r="C47" s="23" t="s">
        <v>32</v>
      </c>
      <c r="D47" s="23" t="s">
        <v>160</v>
      </c>
      <c r="E47" s="23" t="s">
        <v>23</v>
      </c>
      <c r="F47" s="260">
        <v>32046410</v>
      </c>
      <c r="G47" s="260">
        <v>32466410</v>
      </c>
      <c r="H47" s="260">
        <v>32046410</v>
      </c>
    </row>
    <row r="48" spans="1:33" ht="30.75" x14ac:dyDescent="0.25">
      <c r="A48" s="22" t="s">
        <v>26</v>
      </c>
      <c r="B48" s="23" t="s">
        <v>15</v>
      </c>
      <c r="C48" s="23" t="s">
        <v>32</v>
      </c>
      <c r="D48" s="23" t="s">
        <v>160</v>
      </c>
      <c r="E48" s="23" t="s">
        <v>27</v>
      </c>
      <c r="F48" s="261">
        <f>1948000-85000+326800</f>
        <v>2189800</v>
      </c>
      <c r="G48" s="261">
        <f>1948000-85000</f>
        <v>1863000</v>
      </c>
      <c r="H48" s="261">
        <f>1948000-85000</f>
        <v>1863000</v>
      </c>
    </row>
    <row r="49" spans="1:42" ht="31.5" x14ac:dyDescent="0.25">
      <c r="A49" s="18" t="s">
        <v>33</v>
      </c>
      <c r="B49" s="19" t="s">
        <v>15</v>
      </c>
      <c r="C49" s="19" t="s">
        <v>34</v>
      </c>
      <c r="D49" s="19"/>
      <c r="E49" s="19"/>
      <c r="F49" s="263">
        <f t="shared" ref="F49:H52" si="3">F50</f>
        <v>149600</v>
      </c>
      <c r="G49" s="263">
        <f t="shared" si="3"/>
        <v>0</v>
      </c>
      <c r="H49" s="263">
        <f t="shared" si="3"/>
        <v>0</v>
      </c>
    </row>
    <row r="50" spans="1:42" x14ac:dyDescent="0.25">
      <c r="A50" s="18" t="s">
        <v>18</v>
      </c>
      <c r="B50" s="19" t="s">
        <v>15</v>
      </c>
      <c r="C50" s="19" t="s">
        <v>34</v>
      </c>
      <c r="D50" s="19" t="s">
        <v>19</v>
      </c>
      <c r="E50" s="19"/>
      <c r="F50" s="263">
        <f t="shared" si="3"/>
        <v>149600</v>
      </c>
      <c r="G50" s="263">
        <f t="shared" si="3"/>
        <v>0</v>
      </c>
      <c r="H50" s="263">
        <f t="shared" si="3"/>
        <v>0</v>
      </c>
    </row>
    <row r="51" spans="1:42" x14ac:dyDescent="0.25">
      <c r="A51" s="22" t="s">
        <v>56</v>
      </c>
      <c r="B51" s="23" t="s">
        <v>15</v>
      </c>
      <c r="C51" s="23" t="s">
        <v>34</v>
      </c>
      <c r="D51" s="23" t="s">
        <v>38</v>
      </c>
      <c r="E51" s="23"/>
      <c r="F51" s="261">
        <f t="shared" si="3"/>
        <v>149600</v>
      </c>
      <c r="G51" s="261">
        <f t="shared" si="3"/>
        <v>0</v>
      </c>
      <c r="H51" s="261">
        <f t="shared" si="3"/>
        <v>0</v>
      </c>
    </row>
    <row r="52" spans="1:42" ht="30.75" x14ac:dyDescent="0.25">
      <c r="A52" s="22" t="s">
        <v>166</v>
      </c>
      <c r="B52" s="23" t="s">
        <v>15</v>
      </c>
      <c r="C52" s="23" t="s">
        <v>34</v>
      </c>
      <c r="D52" s="23" t="s">
        <v>167</v>
      </c>
      <c r="E52" s="23"/>
      <c r="F52" s="261">
        <f t="shared" si="3"/>
        <v>149600</v>
      </c>
      <c r="G52" s="261">
        <f t="shared" si="3"/>
        <v>0</v>
      </c>
      <c r="H52" s="261">
        <f t="shared" si="3"/>
        <v>0</v>
      </c>
    </row>
    <row r="53" spans="1:42" ht="30.75" x14ac:dyDescent="0.25">
      <c r="A53" s="22" t="s">
        <v>26</v>
      </c>
      <c r="B53" s="23" t="s">
        <v>15</v>
      </c>
      <c r="C53" s="23" t="s">
        <v>34</v>
      </c>
      <c r="D53" s="23" t="s">
        <v>167</v>
      </c>
      <c r="E53" s="23" t="s">
        <v>27</v>
      </c>
      <c r="F53" s="261">
        <v>149600</v>
      </c>
      <c r="G53" s="261">
        <v>0</v>
      </c>
      <c r="H53" s="261">
        <v>0</v>
      </c>
    </row>
    <row r="54" spans="1:42" s="82" customFormat="1" x14ac:dyDescent="0.25">
      <c r="A54" s="18" t="s">
        <v>35</v>
      </c>
      <c r="B54" s="19" t="s">
        <v>15</v>
      </c>
      <c r="C54" s="19" t="s">
        <v>36</v>
      </c>
      <c r="D54" s="19"/>
      <c r="E54" s="19"/>
      <c r="F54" s="259">
        <f t="shared" ref="F54:H57" si="4">F55</f>
        <v>55555898.879999995</v>
      </c>
      <c r="G54" s="259">
        <f t="shared" si="4"/>
        <v>70000000</v>
      </c>
      <c r="H54" s="259">
        <f t="shared" si="4"/>
        <v>70000000</v>
      </c>
      <c r="I54" s="72"/>
      <c r="J54" s="69"/>
      <c r="K54" s="69"/>
      <c r="L54" s="69"/>
      <c r="M54" s="80"/>
      <c r="N54" s="80"/>
      <c r="O54" s="80"/>
      <c r="P54" s="80"/>
      <c r="Q54" s="80"/>
      <c r="R54" s="80"/>
      <c r="S54" s="80"/>
      <c r="T54" s="80"/>
      <c r="U54" s="80"/>
      <c r="V54" s="71"/>
      <c r="W54" s="71"/>
      <c r="X54" s="71"/>
      <c r="Y54" s="71"/>
      <c r="Z54" s="81"/>
      <c r="AA54" s="81"/>
      <c r="AB54" s="81"/>
      <c r="AC54" s="81"/>
      <c r="AD54" s="81"/>
      <c r="AE54" s="81"/>
      <c r="AF54" s="81"/>
      <c r="AG54" s="81"/>
    </row>
    <row r="55" spans="1:42" s="82" customFormat="1" x14ac:dyDescent="0.25">
      <c r="A55" s="18" t="s">
        <v>18</v>
      </c>
      <c r="B55" s="19" t="s">
        <v>15</v>
      </c>
      <c r="C55" s="19" t="s">
        <v>36</v>
      </c>
      <c r="D55" s="19" t="s">
        <v>19</v>
      </c>
      <c r="E55" s="19"/>
      <c r="F55" s="259">
        <f t="shared" si="4"/>
        <v>55555898.879999995</v>
      </c>
      <c r="G55" s="259">
        <f t="shared" si="4"/>
        <v>70000000</v>
      </c>
      <c r="H55" s="259">
        <f t="shared" si="4"/>
        <v>70000000</v>
      </c>
      <c r="I55" s="72"/>
      <c r="J55" s="69"/>
      <c r="K55" s="69"/>
      <c r="L55" s="69"/>
      <c r="M55" s="80"/>
      <c r="N55" s="80"/>
      <c r="O55" s="80"/>
      <c r="P55" s="80"/>
      <c r="Q55" s="80"/>
      <c r="R55" s="80"/>
      <c r="S55" s="80"/>
      <c r="T55" s="80"/>
      <c r="U55" s="80"/>
      <c r="V55" s="71"/>
      <c r="W55" s="71"/>
      <c r="X55" s="71"/>
      <c r="Y55" s="71"/>
      <c r="Z55" s="81"/>
      <c r="AA55" s="81"/>
      <c r="AB55" s="81"/>
      <c r="AC55" s="81"/>
      <c r="AD55" s="81"/>
      <c r="AE55" s="81"/>
      <c r="AF55" s="81"/>
      <c r="AG55" s="81"/>
    </row>
    <row r="56" spans="1:42" x14ac:dyDescent="0.25">
      <c r="A56" s="22" t="s">
        <v>56</v>
      </c>
      <c r="B56" s="23" t="s">
        <v>15</v>
      </c>
      <c r="C56" s="23" t="s">
        <v>36</v>
      </c>
      <c r="D56" s="23" t="s">
        <v>38</v>
      </c>
      <c r="E56" s="23"/>
      <c r="F56" s="260">
        <f t="shared" si="4"/>
        <v>55555898.879999995</v>
      </c>
      <c r="G56" s="260">
        <f t="shared" si="4"/>
        <v>70000000</v>
      </c>
      <c r="H56" s="260">
        <f t="shared" si="4"/>
        <v>70000000</v>
      </c>
    </row>
    <row r="57" spans="1:42" x14ac:dyDescent="0.25">
      <c r="A57" s="22" t="s">
        <v>163</v>
      </c>
      <c r="B57" s="23" t="s">
        <v>15</v>
      </c>
      <c r="C57" s="23" t="s">
        <v>36</v>
      </c>
      <c r="D57" s="23" t="s">
        <v>164</v>
      </c>
      <c r="E57" s="23"/>
      <c r="F57" s="260">
        <f t="shared" si="4"/>
        <v>55555898.879999995</v>
      </c>
      <c r="G57" s="260">
        <f t="shared" si="4"/>
        <v>70000000</v>
      </c>
      <c r="H57" s="260">
        <f t="shared" si="4"/>
        <v>70000000</v>
      </c>
      <c r="Q57" s="83"/>
    </row>
    <row r="58" spans="1:42" x14ac:dyDescent="0.25">
      <c r="A58" s="22" t="s">
        <v>28</v>
      </c>
      <c r="B58" s="23" t="s">
        <v>15</v>
      </c>
      <c r="C58" s="23" t="s">
        <v>36</v>
      </c>
      <c r="D58" s="23" t="s">
        <v>164</v>
      </c>
      <c r="E58" s="23" t="s">
        <v>29</v>
      </c>
      <c r="F58" s="261">
        <f>70000000-149600-870642.73-2000000-500000-1038253.77-1149530-3875239.29-225000-100522-750000-583919.73-55000-6954500-436819.48-171720-1799087.7-357961.42-288900-70480-60000+560-16985+55000+6954500</f>
        <v>55555898.879999995</v>
      </c>
      <c r="G58" s="261">
        <f>70000000-70000000+70000000</f>
        <v>70000000</v>
      </c>
      <c r="H58" s="261">
        <v>70000000</v>
      </c>
      <c r="J58" s="313"/>
      <c r="K58" s="313"/>
      <c r="L58" s="313"/>
      <c r="M58" s="314"/>
      <c r="N58" s="314"/>
      <c r="O58" s="314"/>
      <c r="P58" s="314"/>
      <c r="Q58" s="315"/>
      <c r="R58" s="314"/>
      <c r="S58" s="314"/>
      <c r="T58" s="314"/>
      <c r="U58" s="314"/>
      <c r="W58" s="83"/>
      <c r="Y58" s="84"/>
      <c r="Z58" s="84"/>
      <c r="AA58" s="85"/>
      <c r="AB58" s="84"/>
      <c r="AC58" s="84"/>
      <c r="AD58" s="84"/>
      <c r="AE58" s="84"/>
      <c r="AF58" s="84"/>
      <c r="AG58" s="84"/>
      <c r="AH58" s="86"/>
      <c r="AI58" s="86"/>
      <c r="AJ58" s="86"/>
      <c r="AK58" s="86"/>
      <c r="AL58" s="86"/>
      <c r="AM58" s="86"/>
      <c r="AN58" s="86"/>
      <c r="AO58" s="86"/>
      <c r="AP58" s="86"/>
    </row>
    <row r="59" spans="1:42" s="82" customFormat="1" x14ac:dyDescent="0.25">
      <c r="A59" s="18" t="s">
        <v>39</v>
      </c>
      <c r="B59" s="19" t="s">
        <v>15</v>
      </c>
      <c r="C59" s="19" t="s">
        <v>40</v>
      </c>
      <c r="D59" s="19"/>
      <c r="E59" s="19"/>
      <c r="F59" s="20">
        <f>F60</f>
        <v>591872842.27333331</v>
      </c>
      <c r="G59" s="20">
        <f>G60</f>
        <v>559524335.84000003</v>
      </c>
      <c r="H59" s="259">
        <f>H60</f>
        <v>560073490.74000001</v>
      </c>
      <c r="I59" s="72"/>
      <c r="J59" s="69"/>
      <c r="K59" s="69"/>
      <c r="L59" s="69"/>
      <c r="M59" s="80"/>
      <c r="N59" s="80"/>
      <c r="O59" s="80"/>
      <c r="P59" s="80"/>
      <c r="Q59" s="80"/>
      <c r="R59" s="80"/>
      <c r="S59" s="80"/>
      <c r="T59" s="80"/>
      <c r="U59" s="80"/>
      <c r="V59" s="71"/>
      <c r="W59" s="71"/>
      <c r="X59" s="71"/>
      <c r="Y59" s="71"/>
      <c r="Z59" s="81"/>
      <c r="AA59" s="81"/>
      <c r="AB59" s="81"/>
      <c r="AC59" s="81"/>
      <c r="AD59" s="81"/>
      <c r="AE59" s="81"/>
      <c r="AF59" s="81"/>
      <c r="AG59" s="81"/>
    </row>
    <row r="60" spans="1:42" s="82" customFormat="1" x14ac:dyDescent="0.25">
      <c r="A60" s="18" t="s">
        <v>18</v>
      </c>
      <c r="B60" s="19" t="s">
        <v>15</v>
      </c>
      <c r="C60" s="19" t="s">
        <v>40</v>
      </c>
      <c r="D60" s="30">
        <v>9900000000</v>
      </c>
      <c r="E60" s="19"/>
      <c r="F60" s="20">
        <f>F61+F83</f>
        <v>591872842.27333331</v>
      </c>
      <c r="G60" s="20">
        <f>G61+G83</f>
        <v>559524335.84000003</v>
      </c>
      <c r="H60" s="20">
        <f>H61+H83</f>
        <v>560073490.74000001</v>
      </c>
      <c r="I60" s="72"/>
      <c r="J60" s="69"/>
      <c r="K60" s="69"/>
      <c r="L60" s="69"/>
      <c r="M60" s="80"/>
      <c r="N60" s="80"/>
      <c r="O60" s="80"/>
      <c r="P60" s="80"/>
      <c r="Q60" s="80"/>
      <c r="R60" s="80"/>
      <c r="S60" s="80"/>
      <c r="T60" s="80"/>
      <c r="U60" s="80"/>
      <c r="V60" s="71"/>
      <c r="W60" s="71"/>
      <c r="X60" s="71"/>
      <c r="Y60" s="71"/>
      <c r="Z60" s="81"/>
      <c r="AA60" s="81"/>
      <c r="AB60" s="81"/>
      <c r="AC60" s="81"/>
      <c r="AD60" s="81"/>
      <c r="AE60" s="81"/>
      <c r="AF60" s="81"/>
      <c r="AG60" s="81"/>
    </row>
    <row r="61" spans="1:42" ht="30.75" x14ac:dyDescent="0.25">
      <c r="A61" s="22" t="s">
        <v>20</v>
      </c>
      <c r="B61" s="23" t="s">
        <v>15</v>
      </c>
      <c r="C61" s="23" t="s">
        <v>40</v>
      </c>
      <c r="D61" s="31">
        <v>9910000000</v>
      </c>
      <c r="E61" s="23"/>
      <c r="F61" s="24">
        <f>F62+F64+F66+F69+F71+F75+F79</f>
        <v>545858258.18333328</v>
      </c>
      <c r="G61" s="24">
        <f>G62+G64+G66+G69+G71+G75+G79</f>
        <v>553485256.84000003</v>
      </c>
      <c r="H61" s="24">
        <f>H62+H64+H66+H69+H71+H75+H79</f>
        <v>553770520.84000003</v>
      </c>
    </row>
    <row r="62" spans="1:42" ht="30.75" x14ac:dyDescent="0.25">
      <c r="A62" s="32" t="s">
        <v>159</v>
      </c>
      <c r="B62" s="23" t="s">
        <v>15</v>
      </c>
      <c r="C62" s="23" t="s">
        <v>40</v>
      </c>
      <c r="D62" s="31">
        <v>9910011410</v>
      </c>
      <c r="E62" s="23"/>
      <c r="F62" s="260">
        <f>F63</f>
        <v>1581356.2533333334</v>
      </c>
      <c r="G62" s="260">
        <f>G63</f>
        <v>1581356.25</v>
      </c>
      <c r="H62" s="260">
        <f>H63</f>
        <v>1581356.25</v>
      </c>
    </row>
    <row r="63" spans="1:42" ht="75.75" x14ac:dyDescent="0.25">
      <c r="A63" s="32" t="s">
        <v>22</v>
      </c>
      <c r="B63" s="23" t="s">
        <v>15</v>
      </c>
      <c r="C63" s="23" t="s">
        <v>40</v>
      </c>
      <c r="D63" s="31">
        <v>9910011410</v>
      </c>
      <c r="E63" s="23" t="s">
        <v>23</v>
      </c>
      <c r="F63" s="260">
        <v>1581356.2533333334</v>
      </c>
      <c r="G63" s="260">
        <v>1581356.25</v>
      </c>
      <c r="H63" s="261">
        <v>1581356.25</v>
      </c>
      <c r="M63" s="69"/>
    </row>
    <row r="64" spans="1:42" ht="30.75" x14ac:dyDescent="0.25">
      <c r="A64" s="32" t="s">
        <v>165</v>
      </c>
      <c r="B64" s="23" t="s">
        <v>15</v>
      </c>
      <c r="C64" s="23" t="s">
        <v>40</v>
      </c>
      <c r="D64" s="31">
        <v>9910022001</v>
      </c>
      <c r="E64" s="23"/>
      <c r="F64" s="260">
        <f>SUM(F65:F65)</f>
        <v>3055203</v>
      </c>
      <c r="G64" s="260">
        <f>SUM(G65:G65)</f>
        <v>3055203</v>
      </c>
      <c r="H64" s="260">
        <f>SUM(H65:H65)</f>
        <v>3055203</v>
      </c>
    </row>
    <row r="65" spans="1:8" ht="75.75" x14ac:dyDescent="0.25">
      <c r="A65" s="32" t="s">
        <v>22</v>
      </c>
      <c r="B65" s="23" t="s">
        <v>15</v>
      </c>
      <c r="C65" s="23" t="s">
        <v>40</v>
      </c>
      <c r="D65" s="31">
        <v>9910022001</v>
      </c>
      <c r="E65" s="23" t="s">
        <v>23</v>
      </c>
      <c r="F65" s="260">
        <v>3055203</v>
      </c>
      <c r="G65" s="260">
        <v>3055203</v>
      </c>
      <c r="H65" s="260">
        <v>3055203</v>
      </c>
    </row>
    <row r="66" spans="1:8" ht="30.75" x14ac:dyDescent="0.25">
      <c r="A66" s="32" t="s">
        <v>165</v>
      </c>
      <c r="B66" s="23" t="s">
        <v>15</v>
      </c>
      <c r="C66" s="23" t="s">
        <v>40</v>
      </c>
      <c r="D66" s="31">
        <v>9910022001</v>
      </c>
      <c r="E66" s="23"/>
      <c r="F66" s="260">
        <f>F67+F68</f>
        <v>6093717.8499999996</v>
      </c>
      <c r="G66" s="260">
        <f>G67+G68</f>
        <v>5923793.71</v>
      </c>
      <c r="H66" s="260">
        <f>H67+H68</f>
        <v>5923793.71</v>
      </c>
    </row>
    <row r="67" spans="1:8" ht="75.75" x14ac:dyDescent="0.25">
      <c r="A67" s="22" t="s">
        <v>22</v>
      </c>
      <c r="B67" s="23" t="s">
        <v>15</v>
      </c>
      <c r="C67" s="23" t="s">
        <v>40</v>
      </c>
      <c r="D67" s="31">
        <v>9910022001</v>
      </c>
      <c r="E67" s="23" t="s">
        <v>23</v>
      </c>
      <c r="F67" s="261">
        <v>4957585.8499999996</v>
      </c>
      <c r="G67" s="261">
        <v>4956769.3499999996</v>
      </c>
      <c r="H67" s="261">
        <v>4956769.3499999996</v>
      </c>
    </row>
    <row r="68" spans="1:8" ht="30.75" x14ac:dyDescent="0.25">
      <c r="A68" s="22" t="s">
        <v>26</v>
      </c>
      <c r="B68" s="23" t="s">
        <v>15</v>
      </c>
      <c r="C68" s="23" t="s">
        <v>40</v>
      </c>
      <c r="D68" s="31">
        <v>9910022001</v>
      </c>
      <c r="E68" s="23" t="s">
        <v>27</v>
      </c>
      <c r="F68" s="261">
        <f>936132+200000</f>
        <v>1136132</v>
      </c>
      <c r="G68" s="261">
        <v>967024.36</v>
      </c>
      <c r="H68" s="261">
        <v>967024.36</v>
      </c>
    </row>
    <row r="69" spans="1:8" ht="30.75" x14ac:dyDescent="0.25">
      <c r="A69" s="32" t="s">
        <v>165</v>
      </c>
      <c r="B69" s="23" t="s">
        <v>15</v>
      </c>
      <c r="C69" s="23" t="s">
        <v>40</v>
      </c>
      <c r="D69" s="31">
        <v>9910022001</v>
      </c>
      <c r="E69" s="23"/>
      <c r="F69" s="260">
        <f>SUM(F70:F70)</f>
        <v>381709600.11999995</v>
      </c>
      <c r="G69" s="260">
        <f>SUM(G70:G70)</f>
        <v>387348700.42000002</v>
      </c>
      <c r="H69" s="260">
        <f>SUM(H70:H70)</f>
        <v>387348700.42000002</v>
      </c>
    </row>
    <row r="70" spans="1:8" ht="45.75" x14ac:dyDescent="0.25">
      <c r="A70" s="32" t="s">
        <v>54</v>
      </c>
      <c r="B70" s="23" t="s">
        <v>15</v>
      </c>
      <c r="C70" s="23" t="s">
        <v>40</v>
      </c>
      <c r="D70" s="31">
        <v>9910022001</v>
      </c>
      <c r="E70" s="23" t="s">
        <v>55</v>
      </c>
      <c r="F70" s="262">
        <f>415036861.59-31920960.67-1406300.8</f>
        <v>381709600.11999995</v>
      </c>
      <c r="G70" s="262">
        <v>387348700.42000002</v>
      </c>
      <c r="H70" s="261">
        <v>387348700.42000002</v>
      </c>
    </row>
    <row r="71" spans="1:8" ht="30.75" x14ac:dyDescent="0.25">
      <c r="A71" s="32" t="s">
        <v>165</v>
      </c>
      <c r="B71" s="23" t="s">
        <v>15</v>
      </c>
      <c r="C71" s="23" t="s">
        <v>40</v>
      </c>
      <c r="D71" s="31">
        <v>9910022001</v>
      </c>
      <c r="E71" s="23"/>
      <c r="F71" s="260">
        <f>SUM(F72:F74)</f>
        <v>53102783.5</v>
      </c>
      <c r="G71" s="260">
        <f>SUM(G72:G74)</f>
        <v>54457606</v>
      </c>
      <c r="H71" s="260">
        <f>SUM(H72:H74)</f>
        <v>54742870</v>
      </c>
    </row>
    <row r="72" spans="1:8" ht="75.75" x14ac:dyDescent="0.25">
      <c r="A72" s="22" t="s">
        <v>22</v>
      </c>
      <c r="B72" s="23" t="s">
        <v>15</v>
      </c>
      <c r="C72" s="23" t="s">
        <v>40</v>
      </c>
      <c r="D72" s="31">
        <v>9910022001</v>
      </c>
      <c r="E72" s="23" t="s">
        <v>23</v>
      </c>
      <c r="F72" s="260">
        <v>49737175</v>
      </c>
      <c r="G72" s="260">
        <v>49840615</v>
      </c>
      <c r="H72" s="261">
        <v>49943795</v>
      </c>
    </row>
    <row r="73" spans="1:8" ht="30.75" x14ac:dyDescent="0.25">
      <c r="A73" s="22" t="s">
        <v>26</v>
      </c>
      <c r="B73" s="23" t="s">
        <v>15</v>
      </c>
      <c r="C73" s="23" t="s">
        <v>40</v>
      </c>
      <c r="D73" s="31">
        <v>9910022001</v>
      </c>
      <c r="E73" s="23" t="s">
        <v>27</v>
      </c>
      <c r="F73" s="261">
        <f>4915281-1833890-477360+61677.5+699900</f>
        <v>3365608.5</v>
      </c>
      <c r="G73" s="261">
        <f>5120606-503615</f>
        <v>4616991</v>
      </c>
      <c r="H73" s="261">
        <f>5328880-529805</f>
        <v>4799075</v>
      </c>
    </row>
    <row r="74" spans="1:8" hidden="1" x14ac:dyDescent="0.25">
      <c r="A74" s="22" t="s">
        <v>28</v>
      </c>
      <c r="B74" s="23" t="s">
        <v>15</v>
      </c>
      <c r="C74" s="23" t="s">
        <v>40</v>
      </c>
      <c r="D74" s="31">
        <v>9910022001</v>
      </c>
      <c r="E74" s="23" t="s">
        <v>53</v>
      </c>
      <c r="F74" s="261">
        <v>0</v>
      </c>
      <c r="G74" s="261">
        <v>0</v>
      </c>
      <c r="H74" s="261"/>
    </row>
    <row r="75" spans="1:8" ht="30.75" hidden="1" x14ac:dyDescent="0.25">
      <c r="A75" s="22" t="s">
        <v>20</v>
      </c>
      <c r="B75" s="23" t="s">
        <v>15</v>
      </c>
      <c r="C75" s="23" t="s">
        <v>40</v>
      </c>
      <c r="D75" s="31">
        <v>9910000000</v>
      </c>
      <c r="E75" s="31"/>
      <c r="F75" s="261">
        <f>F76+F77+F78</f>
        <v>0</v>
      </c>
      <c r="G75" s="261">
        <f>G76+G77+G78</f>
        <v>0</v>
      </c>
      <c r="H75" s="261">
        <f>H76+H77+H78</f>
        <v>0</v>
      </c>
    </row>
    <row r="76" spans="1:8" ht="75.75" hidden="1" x14ac:dyDescent="0.25">
      <c r="A76" s="22" t="s">
        <v>22</v>
      </c>
      <c r="B76" s="23" t="s">
        <v>15</v>
      </c>
      <c r="C76" s="23" t="s">
        <v>40</v>
      </c>
      <c r="D76" s="31">
        <v>9910022001</v>
      </c>
      <c r="E76" s="31">
        <v>100</v>
      </c>
      <c r="F76" s="261">
        <v>0</v>
      </c>
      <c r="G76" s="261">
        <v>0</v>
      </c>
      <c r="H76" s="261">
        <v>0</v>
      </c>
    </row>
    <row r="77" spans="1:8" ht="30.75" hidden="1" x14ac:dyDescent="0.25">
      <c r="A77" s="22" t="s">
        <v>26</v>
      </c>
      <c r="B77" s="23" t="s">
        <v>15</v>
      </c>
      <c r="C77" s="23" t="s">
        <v>40</v>
      </c>
      <c r="D77" s="31">
        <v>9910022001</v>
      </c>
      <c r="E77" s="31">
        <v>200</v>
      </c>
      <c r="F77" s="261">
        <v>0</v>
      </c>
      <c r="G77" s="261">
        <v>0</v>
      </c>
      <c r="H77" s="261">
        <v>0</v>
      </c>
    </row>
    <row r="78" spans="1:8" hidden="1" x14ac:dyDescent="0.25">
      <c r="A78" s="32" t="s">
        <v>28</v>
      </c>
      <c r="B78" s="23" t="s">
        <v>15</v>
      </c>
      <c r="C78" s="23" t="s">
        <v>40</v>
      </c>
      <c r="D78" s="31">
        <v>9910022001</v>
      </c>
      <c r="E78" s="31">
        <v>800</v>
      </c>
      <c r="F78" s="261">
        <v>0</v>
      </c>
      <c r="G78" s="261">
        <v>0</v>
      </c>
      <c r="H78" s="261">
        <v>0</v>
      </c>
    </row>
    <row r="79" spans="1:8" ht="30.75" x14ac:dyDescent="0.25">
      <c r="A79" s="22" t="s">
        <v>20</v>
      </c>
      <c r="B79" s="23" t="s">
        <v>15</v>
      </c>
      <c r="C79" s="23" t="s">
        <v>40</v>
      </c>
      <c r="D79" s="31">
        <v>9910000000</v>
      </c>
      <c r="E79" s="31"/>
      <c r="F79" s="261">
        <f>SUM(F80:F82)</f>
        <v>100315597.45999999</v>
      </c>
      <c r="G79" s="261">
        <f>SUM(G80:G82)</f>
        <v>101118597.45999999</v>
      </c>
      <c r="H79" s="261">
        <f>SUM(H80:H82)</f>
        <v>101118597.45999999</v>
      </c>
    </row>
    <row r="80" spans="1:8" ht="75.75" x14ac:dyDescent="0.25">
      <c r="A80" s="22" t="s">
        <v>22</v>
      </c>
      <c r="B80" s="23" t="s">
        <v>15</v>
      </c>
      <c r="C80" s="23" t="s">
        <v>40</v>
      </c>
      <c r="D80" s="31">
        <v>9910022001</v>
      </c>
      <c r="E80" s="31">
        <v>100</v>
      </c>
      <c r="F80" s="261">
        <f>90478297.46-76290.91-2786.76-2606.97</f>
        <v>90396612.819999993</v>
      </c>
      <c r="G80" s="261">
        <v>90478297.459999993</v>
      </c>
      <c r="H80" s="261">
        <v>90478297.459999993</v>
      </c>
    </row>
    <row r="81" spans="1:8" ht="30.75" x14ac:dyDescent="0.25">
      <c r="A81" s="22" t="s">
        <v>26</v>
      </c>
      <c r="B81" s="23" t="s">
        <v>15</v>
      </c>
      <c r="C81" s="23" t="s">
        <v>40</v>
      </c>
      <c r="D81" s="31">
        <v>9910022001</v>
      </c>
      <c r="E81" s="31">
        <v>200</v>
      </c>
      <c r="F81" s="261">
        <f>10637300-800000</f>
        <v>9837300</v>
      </c>
      <c r="G81" s="261">
        <f>11440300-800000</f>
        <v>10640300</v>
      </c>
      <c r="H81" s="261">
        <f>11440300-800000</f>
        <v>10640300</v>
      </c>
    </row>
    <row r="82" spans="1:8" ht="30.75" x14ac:dyDescent="0.25">
      <c r="A82" s="22" t="s">
        <v>52</v>
      </c>
      <c r="B82" s="23" t="s">
        <v>15</v>
      </c>
      <c r="C82" s="23" t="s">
        <v>40</v>
      </c>
      <c r="D82" s="31">
        <v>9910022001</v>
      </c>
      <c r="E82" s="31">
        <v>300</v>
      </c>
      <c r="F82" s="261">
        <f>76290.91+2786.76+2606.97</f>
        <v>81684.639999999999</v>
      </c>
      <c r="G82" s="261">
        <v>0</v>
      </c>
      <c r="H82" s="261"/>
    </row>
    <row r="83" spans="1:8" x14ac:dyDescent="0.25">
      <c r="A83" s="22" t="s">
        <v>56</v>
      </c>
      <c r="B83" s="23" t="s">
        <v>15</v>
      </c>
      <c r="C83" s="23" t="s">
        <v>40</v>
      </c>
      <c r="D83" s="23" t="s">
        <v>38</v>
      </c>
      <c r="E83" s="23"/>
      <c r="F83" s="24">
        <f>F86+F94+F92+F96+F98+F100+F102+F84</f>
        <v>46014584.090000004</v>
      </c>
      <c r="G83" s="24">
        <f t="shared" ref="G83:H83" si="5">G86+G94+G92+G96+G98+G100+G102+G84</f>
        <v>6039079</v>
      </c>
      <c r="H83" s="24">
        <f t="shared" si="5"/>
        <v>6302969.9000000004</v>
      </c>
    </row>
    <row r="84" spans="1:8" ht="45.75" x14ac:dyDescent="0.25">
      <c r="A84" s="22" t="s">
        <v>681</v>
      </c>
      <c r="B84" s="23" t="s">
        <v>15</v>
      </c>
      <c r="C84" s="23" t="s">
        <v>40</v>
      </c>
      <c r="D84" s="23">
        <v>9950091017</v>
      </c>
      <c r="E84" s="23"/>
      <c r="F84" s="260">
        <f>F85</f>
        <v>225000</v>
      </c>
      <c r="G84" s="260">
        <f t="shared" ref="G84:H84" si="6">G85</f>
        <v>0</v>
      </c>
      <c r="H84" s="260">
        <f t="shared" si="6"/>
        <v>0</v>
      </c>
    </row>
    <row r="85" spans="1:8" x14ac:dyDescent="0.25">
      <c r="A85" s="22" t="s">
        <v>28</v>
      </c>
      <c r="B85" s="23" t="s">
        <v>15</v>
      </c>
      <c r="C85" s="23" t="s">
        <v>40</v>
      </c>
      <c r="D85" s="23">
        <v>9950091017</v>
      </c>
      <c r="E85" s="23" t="s">
        <v>29</v>
      </c>
      <c r="F85" s="260">
        <v>225000</v>
      </c>
      <c r="G85" s="260">
        <v>0</v>
      </c>
      <c r="H85" s="260">
        <v>0</v>
      </c>
    </row>
    <row r="86" spans="1:8" ht="30.75" x14ac:dyDescent="0.25">
      <c r="A86" s="22" t="s">
        <v>166</v>
      </c>
      <c r="B86" s="23" t="s">
        <v>15</v>
      </c>
      <c r="C86" s="23" t="s">
        <v>40</v>
      </c>
      <c r="D86" s="23" t="s">
        <v>167</v>
      </c>
      <c r="E86" s="23"/>
      <c r="F86" s="260">
        <f>SUM(F87:F91)</f>
        <v>36243978.109999999</v>
      </c>
      <c r="G86" s="260">
        <f>SUM(G87:G91)</f>
        <v>5809199</v>
      </c>
      <c r="H86" s="260">
        <f>SUM(H87:H91)</f>
        <v>6073089.9000000004</v>
      </c>
    </row>
    <row r="87" spans="1:8" ht="75.75" x14ac:dyDescent="0.25">
      <c r="A87" s="22" t="s">
        <v>22</v>
      </c>
      <c r="B87" s="23" t="s">
        <v>15</v>
      </c>
      <c r="C87" s="23" t="s">
        <v>40</v>
      </c>
      <c r="D87" s="23" t="s">
        <v>167</v>
      </c>
      <c r="E87" s="23" t="s">
        <v>23</v>
      </c>
      <c r="F87" s="260">
        <f>70480+60000-560+16985</f>
        <v>146905</v>
      </c>
      <c r="G87" s="260">
        <v>0</v>
      </c>
      <c r="H87" s="261">
        <v>0</v>
      </c>
    </row>
    <row r="88" spans="1:8" ht="30.75" x14ac:dyDescent="0.25">
      <c r="A88" s="22" t="s">
        <v>26</v>
      </c>
      <c r="B88" s="23" t="s">
        <v>15</v>
      </c>
      <c r="C88" s="23" t="s">
        <v>40</v>
      </c>
      <c r="D88" s="23" t="s">
        <v>167</v>
      </c>
      <c r="E88" s="23" t="s">
        <v>27</v>
      </c>
      <c r="F88" s="261">
        <f>5626918+302645+140000+870642.73+1000000</f>
        <v>7940205.7300000004</v>
      </c>
      <c r="G88" s="261">
        <v>5809199</v>
      </c>
      <c r="H88" s="261">
        <v>6073089.9000000004</v>
      </c>
    </row>
    <row r="89" spans="1:8" ht="30.75" x14ac:dyDescent="0.25">
      <c r="A89" s="22" t="s">
        <v>52</v>
      </c>
      <c r="B89" s="23" t="s">
        <v>15</v>
      </c>
      <c r="C89" s="23" t="s">
        <v>40</v>
      </c>
      <c r="D89" s="23" t="s">
        <v>167</v>
      </c>
      <c r="E89" s="23" t="s">
        <v>53</v>
      </c>
      <c r="F89" s="261">
        <v>1413931</v>
      </c>
      <c r="G89" s="261">
        <v>0</v>
      </c>
      <c r="H89" s="261">
        <v>0</v>
      </c>
    </row>
    <row r="90" spans="1:8" ht="45.75" x14ac:dyDescent="0.25">
      <c r="A90" s="32" t="s">
        <v>54</v>
      </c>
      <c r="B90" s="23" t="s">
        <v>15</v>
      </c>
      <c r="C90" s="23" t="s">
        <v>40</v>
      </c>
      <c r="D90" s="23" t="s">
        <v>167</v>
      </c>
      <c r="E90" s="23" t="s">
        <v>55</v>
      </c>
      <c r="F90" s="261">
        <f>1530000+237718.37+17676696.01</f>
        <v>19444414.380000003</v>
      </c>
      <c r="G90" s="261">
        <v>0</v>
      </c>
      <c r="H90" s="261">
        <v>0</v>
      </c>
    </row>
    <row r="91" spans="1:8" x14ac:dyDescent="0.25">
      <c r="A91" s="32" t="s">
        <v>28</v>
      </c>
      <c r="B91" s="23" t="s">
        <v>15</v>
      </c>
      <c r="C91" s="23" t="s">
        <v>40</v>
      </c>
      <c r="D91" s="23" t="s">
        <v>167</v>
      </c>
      <c r="E91" s="23" t="s">
        <v>29</v>
      </c>
      <c r="F91" s="261">
        <f>2000000+4500000+598000+100522+100000</f>
        <v>7298522</v>
      </c>
      <c r="G91" s="261">
        <v>0</v>
      </c>
      <c r="H91" s="261">
        <v>0</v>
      </c>
    </row>
    <row r="92" spans="1:8" ht="30.75" hidden="1" x14ac:dyDescent="0.25">
      <c r="A92" s="22" t="s">
        <v>166</v>
      </c>
      <c r="B92" s="23" t="s">
        <v>15</v>
      </c>
      <c r="C92" s="23" t="s">
        <v>40</v>
      </c>
      <c r="D92" s="23" t="s">
        <v>167</v>
      </c>
      <c r="E92" s="23"/>
      <c r="F92" s="28">
        <f>F93</f>
        <v>0</v>
      </c>
      <c r="G92" s="28">
        <f>G93</f>
        <v>0</v>
      </c>
      <c r="H92" s="28"/>
    </row>
    <row r="93" spans="1:8" ht="30.75" hidden="1" x14ac:dyDescent="0.25">
      <c r="A93" s="22" t="s">
        <v>26</v>
      </c>
      <c r="B93" s="23" t="s">
        <v>15</v>
      </c>
      <c r="C93" s="23" t="s">
        <v>40</v>
      </c>
      <c r="D93" s="23" t="s">
        <v>167</v>
      </c>
      <c r="E93" s="23" t="s">
        <v>27</v>
      </c>
      <c r="F93" s="28">
        <v>0</v>
      </c>
      <c r="G93" s="28">
        <v>0</v>
      </c>
      <c r="H93" s="28"/>
    </row>
    <row r="94" spans="1:8" ht="30.75" x14ac:dyDescent="0.25">
      <c r="A94" s="22" t="s">
        <v>168</v>
      </c>
      <c r="B94" s="23" t="s">
        <v>15</v>
      </c>
      <c r="C94" s="23" t="s">
        <v>40</v>
      </c>
      <c r="D94" s="23" t="s">
        <v>169</v>
      </c>
      <c r="E94" s="23"/>
      <c r="F94" s="260">
        <f>F95</f>
        <v>229880</v>
      </c>
      <c r="G94" s="260">
        <f>G95</f>
        <v>229880</v>
      </c>
      <c r="H94" s="260">
        <f>H95</f>
        <v>229880</v>
      </c>
    </row>
    <row r="95" spans="1:8" ht="30.75" x14ac:dyDescent="0.25">
      <c r="A95" s="22" t="s">
        <v>52</v>
      </c>
      <c r="B95" s="23" t="s">
        <v>15</v>
      </c>
      <c r="C95" s="23" t="s">
        <v>40</v>
      </c>
      <c r="D95" s="23" t="s">
        <v>169</v>
      </c>
      <c r="E95" s="23" t="s">
        <v>53</v>
      </c>
      <c r="F95" s="261">
        <v>229880</v>
      </c>
      <c r="G95" s="261">
        <v>229880</v>
      </c>
      <c r="H95" s="261">
        <v>229880</v>
      </c>
    </row>
    <row r="96" spans="1:8" ht="45.75" x14ac:dyDescent="0.25">
      <c r="A96" s="22" t="s">
        <v>542</v>
      </c>
      <c r="B96" s="23" t="s">
        <v>15</v>
      </c>
      <c r="C96" s="23" t="s">
        <v>40</v>
      </c>
      <c r="D96" s="23" t="s">
        <v>541</v>
      </c>
      <c r="E96" s="23"/>
      <c r="F96" s="261">
        <f>F97</f>
        <v>9036704.2300000004</v>
      </c>
      <c r="G96" s="261">
        <f>G97</f>
        <v>0</v>
      </c>
      <c r="H96" s="261">
        <f>H97</f>
        <v>0</v>
      </c>
    </row>
    <row r="97" spans="1:33" x14ac:dyDescent="0.25">
      <c r="A97" s="32" t="s">
        <v>28</v>
      </c>
      <c r="B97" s="23" t="s">
        <v>15</v>
      </c>
      <c r="C97" s="23" t="s">
        <v>40</v>
      </c>
      <c r="D97" s="23" t="s">
        <v>541</v>
      </c>
      <c r="E97" s="23" t="s">
        <v>29</v>
      </c>
      <c r="F97" s="261">
        <f>10000000-694243.75-115052.02-154000</f>
        <v>9036704.2300000004</v>
      </c>
      <c r="G97" s="261">
        <v>0</v>
      </c>
      <c r="H97" s="261">
        <v>0</v>
      </c>
      <c r="I97" s="87"/>
    </row>
    <row r="98" spans="1:33" ht="45.75" x14ac:dyDescent="0.25">
      <c r="A98" s="22" t="s">
        <v>542</v>
      </c>
      <c r="B98" s="23" t="s">
        <v>15</v>
      </c>
      <c r="C98" s="23" t="s">
        <v>40</v>
      </c>
      <c r="D98" s="23" t="s">
        <v>541</v>
      </c>
      <c r="E98" s="23"/>
      <c r="F98" s="261">
        <f>F99</f>
        <v>279021.75</v>
      </c>
      <c r="G98" s="261">
        <f>G99</f>
        <v>0</v>
      </c>
      <c r="H98" s="261"/>
    </row>
    <row r="99" spans="1:33" x14ac:dyDescent="0.25">
      <c r="A99" s="32" t="s">
        <v>28</v>
      </c>
      <c r="B99" s="23" t="s">
        <v>15</v>
      </c>
      <c r="C99" s="23" t="s">
        <v>40</v>
      </c>
      <c r="D99" s="23" t="s">
        <v>541</v>
      </c>
      <c r="E99" s="23" t="s">
        <v>29</v>
      </c>
      <c r="F99" s="261">
        <f>100000000-99720978.25</f>
        <v>279021.75</v>
      </c>
      <c r="G99" s="261">
        <v>0</v>
      </c>
      <c r="H99" s="261">
        <v>0</v>
      </c>
    </row>
    <row r="100" spans="1:33" ht="30.75" hidden="1" x14ac:dyDescent="0.25">
      <c r="A100" s="22" t="s">
        <v>166</v>
      </c>
      <c r="B100" s="23" t="s">
        <v>15</v>
      </c>
      <c r="C100" s="23" t="s">
        <v>40</v>
      </c>
      <c r="D100" s="23" t="s">
        <v>167</v>
      </c>
      <c r="E100" s="23"/>
      <c r="F100" s="28">
        <f>F101</f>
        <v>0</v>
      </c>
      <c r="G100" s="28">
        <f>G101</f>
        <v>0</v>
      </c>
      <c r="H100" s="28"/>
    </row>
    <row r="101" spans="1:33" hidden="1" x14ac:dyDescent="0.25">
      <c r="A101" s="32" t="s">
        <v>28</v>
      </c>
      <c r="B101" s="23" t="s">
        <v>15</v>
      </c>
      <c r="C101" s="23" t="s">
        <v>40</v>
      </c>
      <c r="D101" s="23" t="s">
        <v>167</v>
      </c>
      <c r="E101" s="23" t="s">
        <v>29</v>
      </c>
      <c r="F101" s="28">
        <v>0</v>
      </c>
      <c r="G101" s="28">
        <v>0</v>
      </c>
      <c r="H101" s="28"/>
    </row>
    <row r="102" spans="1:33" ht="30.75" hidden="1" x14ac:dyDescent="0.25">
      <c r="A102" s="22" t="s">
        <v>166</v>
      </c>
      <c r="B102" s="23" t="s">
        <v>15</v>
      </c>
      <c r="C102" s="23" t="s">
        <v>40</v>
      </c>
      <c r="D102" s="23" t="s">
        <v>167</v>
      </c>
      <c r="E102" s="23"/>
      <c r="F102" s="28">
        <f>F103</f>
        <v>0</v>
      </c>
      <c r="G102" s="28">
        <f>G103</f>
        <v>0</v>
      </c>
      <c r="H102" s="28"/>
    </row>
    <row r="103" spans="1:33" hidden="1" x14ac:dyDescent="0.25">
      <c r="A103" s="32" t="s">
        <v>28</v>
      </c>
      <c r="B103" s="23" t="s">
        <v>15</v>
      </c>
      <c r="C103" s="23" t="s">
        <v>40</v>
      </c>
      <c r="D103" s="23" t="s">
        <v>167</v>
      </c>
      <c r="E103" s="23" t="s">
        <v>29</v>
      </c>
      <c r="F103" s="28">
        <v>0</v>
      </c>
      <c r="G103" s="28">
        <v>0</v>
      </c>
      <c r="H103" s="28"/>
    </row>
    <row r="104" spans="1:33" s="82" customFormat="1" ht="31.5" x14ac:dyDescent="0.25">
      <c r="A104" s="18" t="s">
        <v>57</v>
      </c>
      <c r="B104" s="19" t="s">
        <v>25</v>
      </c>
      <c r="C104" s="19"/>
      <c r="D104" s="30"/>
      <c r="E104" s="30"/>
      <c r="F104" s="263">
        <f t="shared" ref="F104:H105" si="7">F105</f>
        <v>16368913</v>
      </c>
      <c r="G104" s="263">
        <f t="shared" si="7"/>
        <v>15601670</v>
      </c>
      <c r="H104" s="263">
        <f t="shared" si="7"/>
        <v>15552127</v>
      </c>
      <c r="I104" s="72"/>
      <c r="J104" s="69"/>
      <c r="K104" s="69"/>
      <c r="L104" s="69"/>
      <c r="M104" s="80"/>
      <c r="N104" s="80"/>
      <c r="O104" s="80"/>
      <c r="P104" s="80"/>
      <c r="Q104" s="80"/>
      <c r="R104" s="80"/>
      <c r="S104" s="80"/>
      <c r="T104" s="80"/>
      <c r="U104" s="80"/>
      <c r="V104" s="71"/>
      <c r="W104" s="71"/>
      <c r="X104" s="71"/>
      <c r="Y104" s="71"/>
      <c r="Z104" s="81"/>
      <c r="AA104" s="81"/>
      <c r="AB104" s="81"/>
      <c r="AC104" s="81"/>
      <c r="AD104" s="81"/>
      <c r="AE104" s="81"/>
      <c r="AF104" s="81"/>
      <c r="AG104" s="81"/>
    </row>
    <row r="105" spans="1:33" s="82" customFormat="1" ht="78.75" x14ac:dyDescent="0.25">
      <c r="A105" s="18" t="s">
        <v>58</v>
      </c>
      <c r="B105" s="19" t="s">
        <v>25</v>
      </c>
      <c r="C105" s="19" t="s">
        <v>59</v>
      </c>
      <c r="D105" s="30"/>
      <c r="E105" s="30"/>
      <c r="F105" s="263">
        <f t="shared" si="7"/>
        <v>16368913</v>
      </c>
      <c r="G105" s="263">
        <f t="shared" si="7"/>
        <v>15601670</v>
      </c>
      <c r="H105" s="263">
        <f t="shared" si="7"/>
        <v>15552127</v>
      </c>
      <c r="I105" s="72"/>
      <c r="J105" s="69"/>
      <c r="K105" s="69"/>
      <c r="L105" s="69"/>
      <c r="M105" s="80"/>
      <c r="N105" s="80"/>
      <c r="O105" s="80"/>
      <c r="P105" s="80"/>
      <c r="Q105" s="80"/>
      <c r="R105" s="80"/>
      <c r="S105" s="80"/>
      <c r="T105" s="80"/>
      <c r="U105" s="80"/>
      <c r="V105" s="71"/>
      <c r="W105" s="71"/>
      <c r="X105" s="71"/>
      <c r="Y105" s="71"/>
      <c r="Z105" s="81"/>
      <c r="AA105" s="81"/>
      <c r="AB105" s="81"/>
      <c r="AC105" s="81"/>
      <c r="AD105" s="81"/>
      <c r="AE105" s="81"/>
      <c r="AF105" s="81"/>
      <c r="AG105" s="81"/>
    </row>
    <row r="106" spans="1:33" s="82" customFormat="1" x14ac:dyDescent="0.25">
      <c r="A106" s="34" t="s">
        <v>18</v>
      </c>
      <c r="B106" s="19" t="s">
        <v>25</v>
      </c>
      <c r="C106" s="19" t="s">
        <v>59</v>
      </c>
      <c r="D106" s="30">
        <v>9900000000</v>
      </c>
      <c r="E106" s="30"/>
      <c r="F106" s="263">
        <f>F107+F112</f>
        <v>16368913</v>
      </c>
      <c r="G106" s="263">
        <f>G107+G112</f>
        <v>15601670</v>
      </c>
      <c r="H106" s="263">
        <f>H107+H112</f>
        <v>15552127</v>
      </c>
      <c r="I106" s="72"/>
      <c r="J106" s="69"/>
      <c r="K106" s="69"/>
      <c r="L106" s="69"/>
      <c r="M106" s="80"/>
      <c r="N106" s="80"/>
      <c r="O106" s="80"/>
      <c r="P106" s="80"/>
      <c r="Q106" s="80"/>
      <c r="R106" s="80"/>
      <c r="S106" s="80"/>
      <c r="T106" s="80"/>
      <c r="U106" s="80"/>
      <c r="V106" s="71"/>
      <c r="W106" s="71"/>
      <c r="X106" s="71"/>
      <c r="Y106" s="71"/>
      <c r="Z106" s="81"/>
      <c r="AA106" s="81"/>
      <c r="AB106" s="81"/>
      <c r="AC106" s="81"/>
      <c r="AD106" s="81"/>
      <c r="AE106" s="81"/>
      <c r="AF106" s="81"/>
      <c r="AG106" s="81"/>
    </row>
    <row r="107" spans="1:33" ht="30.75" x14ac:dyDescent="0.25">
      <c r="A107" s="22" t="s">
        <v>20</v>
      </c>
      <c r="B107" s="23" t="s">
        <v>25</v>
      </c>
      <c r="C107" s="23" t="s">
        <v>59</v>
      </c>
      <c r="D107" s="31">
        <v>9910000000</v>
      </c>
      <c r="E107" s="31"/>
      <c r="F107" s="261">
        <f>F108</f>
        <v>15368913</v>
      </c>
      <c r="G107" s="261">
        <f>G108</f>
        <v>14601670</v>
      </c>
      <c r="H107" s="261">
        <f>H108</f>
        <v>14552127</v>
      </c>
    </row>
    <row r="108" spans="1:33" ht="30.75" x14ac:dyDescent="0.25">
      <c r="A108" s="32" t="s">
        <v>165</v>
      </c>
      <c r="B108" s="23" t="s">
        <v>25</v>
      </c>
      <c r="C108" s="23" t="s">
        <v>59</v>
      </c>
      <c r="D108" s="31">
        <v>9910022001</v>
      </c>
      <c r="E108" s="31"/>
      <c r="F108" s="261">
        <f>SUM(F109:F111)</f>
        <v>15368913</v>
      </c>
      <c r="G108" s="261">
        <f>SUM(G109:G111)</f>
        <v>14601670</v>
      </c>
      <c r="H108" s="261">
        <f>SUM(H109:H111)</f>
        <v>14552127</v>
      </c>
    </row>
    <row r="109" spans="1:33" ht="75.75" x14ac:dyDescent="0.25">
      <c r="A109" s="22" t="s">
        <v>22</v>
      </c>
      <c r="B109" s="23" t="s">
        <v>25</v>
      </c>
      <c r="C109" s="23" t="s">
        <v>59</v>
      </c>
      <c r="D109" s="31">
        <v>9910022001</v>
      </c>
      <c r="E109" s="23" t="s">
        <v>23</v>
      </c>
      <c r="F109" s="261">
        <v>10916155</v>
      </c>
      <c r="G109" s="261">
        <v>10916155</v>
      </c>
      <c r="H109" s="261">
        <v>10916155</v>
      </c>
    </row>
    <row r="110" spans="1:33" ht="30.75" x14ac:dyDescent="0.25">
      <c r="A110" s="22" t="s">
        <v>26</v>
      </c>
      <c r="B110" s="23" t="s">
        <v>25</v>
      </c>
      <c r="C110" s="23" t="s">
        <v>59</v>
      </c>
      <c r="D110" s="31">
        <v>9910022001</v>
      </c>
      <c r="E110" s="23" t="s">
        <v>27</v>
      </c>
      <c r="F110" s="261">
        <f>4469846-17088</f>
        <v>4452758</v>
      </c>
      <c r="G110" s="261">
        <f>3703543-18028</f>
        <v>3685515</v>
      </c>
      <c r="H110" s="261">
        <f>3654937-18965</f>
        <v>3635972</v>
      </c>
    </row>
    <row r="111" spans="1:33" hidden="1" x14ac:dyDescent="0.25">
      <c r="A111" s="22" t="s">
        <v>28</v>
      </c>
      <c r="B111" s="23" t="s">
        <v>25</v>
      </c>
      <c r="C111" s="23" t="s">
        <v>59</v>
      </c>
      <c r="D111" s="31">
        <v>9910022001</v>
      </c>
      <c r="E111" s="31">
        <v>800</v>
      </c>
      <c r="F111" s="261"/>
      <c r="G111" s="261"/>
      <c r="H111" s="261"/>
    </row>
    <row r="112" spans="1:33" x14ac:dyDescent="0.25">
      <c r="A112" s="22" t="s">
        <v>56</v>
      </c>
      <c r="B112" s="23" t="s">
        <v>25</v>
      </c>
      <c r="C112" s="23" t="s">
        <v>59</v>
      </c>
      <c r="D112" s="31">
        <v>9950000000</v>
      </c>
      <c r="E112" s="31"/>
      <c r="F112" s="261">
        <f>F113+F115</f>
        <v>1000000</v>
      </c>
      <c r="G112" s="261">
        <f>G113+G115</f>
        <v>1000000</v>
      </c>
      <c r="H112" s="261">
        <f>H113+H115</f>
        <v>1000000</v>
      </c>
    </row>
    <row r="113" spans="1:8" ht="45.75" x14ac:dyDescent="0.25">
      <c r="A113" s="22" t="s">
        <v>170</v>
      </c>
      <c r="B113" s="23" t="s">
        <v>25</v>
      </c>
      <c r="C113" s="23" t="s">
        <v>59</v>
      </c>
      <c r="D113" s="40" t="s">
        <v>171</v>
      </c>
      <c r="E113" s="31"/>
      <c r="F113" s="261">
        <f>F114</f>
        <v>1000000</v>
      </c>
      <c r="G113" s="261">
        <f>G114</f>
        <v>1000000</v>
      </c>
      <c r="H113" s="261">
        <f>H114</f>
        <v>1000000</v>
      </c>
    </row>
    <row r="114" spans="1:8" ht="30.75" x14ac:dyDescent="0.25">
      <c r="A114" s="22" t="s">
        <v>26</v>
      </c>
      <c r="B114" s="23" t="s">
        <v>25</v>
      </c>
      <c r="C114" s="23" t="s">
        <v>59</v>
      </c>
      <c r="D114" s="40" t="s">
        <v>171</v>
      </c>
      <c r="E114" s="31">
        <v>200</v>
      </c>
      <c r="F114" s="261">
        <v>1000000</v>
      </c>
      <c r="G114" s="261">
        <v>1000000</v>
      </c>
      <c r="H114" s="261">
        <v>1000000</v>
      </c>
    </row>
    <row r="115" spans="1:8" ht="30.75" hidden="1" x14ac:dyDescent="0.25">
      <c r="A115" s="22" t="s">
        <v>172</v>
      </c>
      <c r="B115" s="23" t="s">
        <v>25</v>
      </c>
      <c r="C115" s="23" t="s">
        <v>59</v>
      </c>
      <c r="D115" s="40" t="s">
        <v>173</v>
      </c>
      <c r="E115" s="31"/>
      <c r="F115" s="28">
        <f>F116</f>
        <v>0</v>
      </c>
      <c r="G115" s="28">
        <f>G116</f>
        <v>0</v>
      </c>
      <c r="H115" s="28"/>
    </row>
    <row r="116" spans="1:8" ht="30.75" hidden="1" x14ac:dyDescent="0.25">
      <c r="A116" s="22" t="s">
        <v>26</v>
      </c>
      <c r="B116" s="23" t="s">
        <v>25</v>
      </c>
      <c r="C116" s="23" t="s">
        <v>59</v>
      </c>
      <c r="D116" s="40" t="s">
        <v>173</v>
      </c>
      <c r="E116" s="31">
        <v>200</v>
      </c>
      <c r="F116" s="28">
        <v>0</v>
      </c>
      <c r="G116" s="28">
        <v>0</v>
      </c>
      <c r="H116" s="28"/>
    </row>
    <row r="117" spans="1:8" x14ac:dyDescent="0.25">
      <c r="A117" s="18" t="s">
        <v>60</v>
      </c>
      <c r="B117" s="19" t="s">
        <v>30</v>
      </c>
      <c r="C117" s="19"/>
      <c r="D117" s="39"/>
      <c r="E117" s="30"/>
      <c r="F117" s="42">
        <f>F118+F123+F131</f>
        <v>12199697.85</v>
      </c>
      <c r="G117" s="42">
        <f>G118+G123+G131</f>
        <v>4199697.8499999996</v>
      </c>
      <c r="H117" s="42">
        <f>H118+H123+H131</f>
        <v>4199697.8499999996</v>
      </c>
    </row>
    <row r="118" spans="1:8" x14ac:dyDescent="0.25">
      <c r="A118" s="18" t="s">
        <v>61</v>
      </c>
      <c r="B118" s="19" t="s">
        <v>30</v>
      </c>
      <c r="C118" s="19" t="s">
        <v>15</v>
      </c>
      <c r="D118" s="39"/>
      <c r="E118" s="30"/>
      <c r="F118" s="263">
        <f t="shared" ref="F118:H121" si="8">F119</f>
        <v>331283.65999999997</v>
      </c>
      <c r="G118" s="263">
        <f t="shared" si="8"/>
        <v>331283.65999999997</v>
      </c>
      <c r="H118" s="263">
        <f t="shared" si="8"/>
        <v>331283.65999999997</v>
      </c>
    </row>
    <row r="119" spans="1:8" x14ac:dyDescent="0.25">
      <c r="A119" s="18" t="s">
        <v>18</v>
      </c>
      <c r="B119" s="19" t="s">
        <v>30</v>
      </c>
      <c r="C119" s="19" t="s">
        <v>15</v>
      </c>
      <c r="D119" s="39">
        <v>9900000000</v>
      </c>
      <c r="E119" s="30"/>
      <c r="F119" s="263">
        <f t="shared" si="8"/>
        <v>331283.65999999997</v>
      </c>
      <c r="G119" s="263">
        <f t="shared" si="8"/>
        <v>331283.65999999997</v>
      </c>
      <c r="H119" s="263">
        <f t="shared" si="8"/>
        <v>331283.65999999997</v>
      </c>
    </row>
    <row r="120" spans="1:8" ht="30.75" x14ac:dyDescent="0.25">
      <c r="A120" s="22" t="s">
        <v>20</v>
      </c>
      <c r="B120" s="23" t="s">
        <v>30</v>
      </c>
      <c r="C120" s="23" t="s">
        <v>15</v>
      </c>
      <c r="D120" s="40" t="s">
        <v>21</v>
      </c>
      <c r="E120" s="31"/>
      <c r="F120" s="261">
        <f t="shared" si="8"/>
        <v>331283.65999999997</v>
      </c>
      <c r="G120" s="261">
        <f t="shared" si="8"/>
        <v>331283.65999999997</v>
      </c>
      <c r="H120" s="261">
        <f t="shared" si="8"/>
        <v>331283.65999999997</v>
      </c>
    </row>
    <row r="121" spans="1:8" ht="30.75" x14ac:dyDescent="0.25">
      <c r="A121" s="22" t="s">
        <v>159</v>
      </c>
      <c r="B121" s="23" t="s">
        <v>30</v>
      </c>
      <c r="C121" s="23" t="s">
        <v>15</v>
      </c>
      <c r="D121" s="40" t="s">
        <v>160</v>
      </c>
      <c r="E121" s="31"/>
      <c r="F121" s="261">
        <f t="shared" si="8"/>
        <v>331283.65999999997</v>
      </c>
      <c r="G121" s="261">
        <f t="shared" si="8"/>
        <v>331283.65999999997</v>
      </c>
      <c r="H121" s="261">
        <f t="shared" si="8"/>
        <v>331283.65999999997</v>
      </c>
    </row>
    <row r="122" spans="1:8" ht="75.75" x14ac:dyDescent="0.25">
      <c r="A122" s="22" t="s">
        <v>22</v>
      </c>
      <c r="B122" s="23" t="s">
        <v>30</v>
      </c>
      <c r="C122" s="23" t="s">
        <v>15</v>
      </c>
      <c r="D122" s="40" t="s">
        <v>160</v>
      </c>
      <c r="E122" s="31">
        <v>100</v>
      </c>
      <c r="F122" s="261">
        <v>331283.65999999997</v>
      </c>
      <c r="G122" s="261">
        <v>331283.65999999997</v>
      </c>
      <c r="H122" s="261">
        <v>331283.65999999997</v>
      </c>
    </row>
    <row r="123" spans="1:8" x14ac:dyDescent="0.25">
      <c r="A123" s="18" t="s">
        <v>62</v>
      </c>
      <c r="B123" s="19" t="s">
        <v>30</v>
      </c>
      <c r="C123" s="19" t="s">
        <v>63</v>
      </c>
      <c r="D123" s="39"/>
      <c r="E123" s="30"/>
      <c r="F123" s="263">
        <f t="shared" ref="F123:H126" si="9">F124</f>
        <v>3868414.19</v>
      </c>
      <c r="G123" s="263">
        <f t="shared" si="9"/>
        <v>3868414.19</v>
      </c>
      <c r="H123" s="263">
        <f t="shared" si="9"/>
        <v>3868414.19</v>
      </c>
    </row>
    <row r="124" spans="1:8" x14ac:dyDescent="0.25">
      <c r="A124" s="18" t="s">
        <v>18</v>
      </c>
      <c r="B124" s="19" t="s">
        <v>30</v>
      </c>
      <c r="C124" s="19" t="s">
        <v>63</v>
      </c>
      <c r="D124" s="39">
        <v>9900000000</v>
      </c>
      <c r="E124" s="30"/>
      <c r="F124" s="263">
        <f>F125+F128</f>
        <v>3868414.19</v>
      </c>
      <c r="G124" s="263">
        <f>G125+G128</f>
        <v>3868414.19</v>
      </c>
      <c r="H124" s="263">
        <f>H125+H128</f>
        <v>3868414.19</v>
      </c>
    </row>
    <row r="125" spans="1:8" ht="30.75" x14ac:dyDescent="0.25">
      <c r="A125" s="22" t="s">
        <v>20</v>
      </c>
      <c r="B125" s="23" t="s">
        <v>30</v>
      </c>
      <c r="C125" s="23" t="s">
        <v>63</v>
      </c>
      <c r="D125" s="40" t="s">
        <v>21</v>
      </c>
      <c r="E125" s="31"/>
      <c r="F125" s="261">
        <f t="shared" si="9"/>
        <v>3408414.19</v>
      </c>
      <c r="G125" s="261">
        <f t="shared" si="9"/>
        <v>3408414.19</v>
      </c>
      <c r="H125" s="261">
        <f t="shared" si="9"/>
        <v>3408414.19</v>
      </c>
    </row>
    <row r="126" spans="1:8" ht="30.75" x14ac:dyDescent="0.25">
      <c r="A126" s="22" t="s">
        <v>165</v>
      </c>
      <c r="B126" s="23" t="s">
        <v>30</v>
      </c>
      <c r="C126" s="23" t="s">
        <v>63</v>
      </c>
      <c r="D126" s="40" t="s">
        <v>174</v>
      </c>
      <c r="E126" s="31"/>
      <c r="F126" s="261">
        <f t="shared" si="9"/>
        <v>3408414.19</v>
      </c>
      <c r="G126" s="261">
        <f t="shared" si="9"/>
        <v>3408414.19</v>
      </c>
      <c r="H126" s="261">
        <f t="shared" si="9"/>
        <v>3408414.19</v>
      </c>
    </row>
    <row r="127" spans="1:8" ht="75.75" x14ac:dyDescent="0.25">
      <c r="A127" s="22" t="s">
        <v>22</v>
      </c>
      <c r="B127" s="23" t="s">
        <v>30</v>
      </c>
      <c r="C127" s="23" t="s">
        <v>63</v>
      </c>
      <c r="D127" s="40" t="s">
        <v>174</v>
      </c>
      <c r="E127" s="31">
        <v>100</v>
      </c>
      <c r="F127" s="261">
        <v>3408414.19</v>
      </c>
      <c r="G127" s="261">
        <v>3408414.19</v>
      </c>
      <c r="H127" s="261">
        <v>3408414.19</v>
      </c>
    </row>
    <row r="128" spans="1:8" x14ac:dyDescent="0.25">
      <c r="A128" s="22" t="s">
        <v>56</v>
      </c>
      <c r="B128" s="23" t="s">
        <v>30</v>
      </c>
      <c r="C128" s="23" t="s">
        <v>63</v>
      </c>
      <c r="D128" s="40" t="s">
        <v>38</v>
      </c>
      <c r="E128" s="31"/>
      <c r="F128" s="261">
        <f t="shared" ref="F128:H129" si="10">F129</f>
        <v>460000</v>
      </c>
      <c r="G128" s="261">
        <f t="shared" si="10"/>
        <v>460000</v>
      </c>
      <c r="H128" s="261">
        <f t="shared" si="10"/>
        <v>460000</v>
      </c>
    </row>
    <row r="129" spans="1:33" ht="30.75" x14ac:dyDescent="0.25">
      <c r="A129" s="22" t="s">
        <v>166</v>
      </c>
      <c r="B129" s="23" t="s">
        <v>30</v>
      </c>
      <c r="C129" s="23" t="s">
        <v>63</v>
      </c>
      <c r="D129" s="40" t="s">
        <v>167</v>
      </c>
      <c r="E129" s="31"/>
      <c r="F129" s="261">
        <f t="shared" si="10"/>
        <v>460000</v>
      </c>
      <c r="G129" s="261">
        <f t="shared" si="10"/>
        <v>460000</v>
      </c>
      <c r="H129" s="261">
        <f t="shared" si="10"/>
        <v>460000</v>
      </c>
    </row>
    <row r="130" spans="1:33" ht="30.75" x14ac:dyDescent="0.25">
      <c r="A130" s="32" t="s">
        <v>52</v>
      </c>
      <c r="B130" s="23" t="s">
        <v>30</v>
      </c>
      <c r="C130" s="23" t="s">
        <v>63</v>
      </c>
      <c r="D130" s="40" t="s">
        <v>167</v>
      </c>
      <c r="E130" s="31">
        <v>300</v>
      </c>
      <c r="F130" s="261">
        <v>460000</v>
      </c>
      <c r="G130" s="261">
        <v>460000</v>
      </c>
      <c r="H130" s="261">
        <v>460000</v>
      </c>
    </row>
    <row r="131" spans="1:33" ht="31.5" x14ac:dyDescent="0.25">
      <c r="A131" s="18" t="s">
        <v>75</v>
      </c>
      <c r="B131" s="19" t="s">
        <v>30</v>
      </c>
      <c r="C131" s="19" t="s">
        <v>76</v>
      </c>
      <c r="D131" s="39"/>
      <c r="E131" s="30"/>
      <c r="F131" s="263">
        <f t="shared" ref="F131:H134" si="11">F132</f>
        <v>8000000</v>
      </c>
      <c r="G131" s="263">
        <f t="shared" si="11"/>
        <v>0</v>
      </c>
      <c r="H131" s="263">
        <f t="shared" si="11"/>
        <v>0</v>
      </c>
    </row>
    <row r="132" spans="1:33" x14ac:dyDescent="0.25">
      <c r="A132" s="18" t="s">
        <v>18</v>
      </c>
      <c r="B132" s="19" t="s">
        <v>30</v>
      </c>
      <c r="C132" s="19" t="s">
        <v>76</v>
      </c>
      <c r="D132" s="39" t="s">
        <v>19</v>
      </c>
      <c r="E132" s="30"/>
      <c r="F132" s="263">
        <f t="shared" si="11"/>
        <v>8000000</v>
      </c>
      <c r="G132" s="263">
        <f t="shared" si="11"/>
        <v>0</v>
      </c>
      <c r="H132" s="263">
        <f t="shared" si="11"/>
        <v>0</v>
      </c>
    </row>
    <row r="133" spans="1:33" x14ac:dyDescent="0.25">
      <c r="A133" s="22" t="s">
        <v>56</v>
      </c>
      <c r="B133" s="23" t="s">
        <v>30</v>
      </c>
      <c r="C133" s="23" t="s">
        <v>76</v>
      </c>
      <c r="D133" s="40" t="s">
        <v>38</v>
      </c>
      <c r="E133" s="31"/>
      <c r="F133" s="261">
        <f t="shared" si="11"/>
        <v>8000000</v>
      </c>
      <c r="G133" s="261">
        <f t="shared" si="11"/>
        <v>0</v>
      </c>
      <c r="H133" s="261">
        <f t="shared" si="11"/>
        <v>0</v>
      </c>
    </row>
    <row r="134" spans="1:33" ht="30.75" x14ac:dyDescent="0.25">
      <c r="A134" s="22" t="s">
        <v>166</v>
      </c>
      <c r="B134" s="23" t="s">
        <v>30</v>
      </c>
      <c r="C134" s="23" t="s">
        <v>76</v>
      </c>
      <c r="D134" s="40" t="s">
        <v>167</v>
      </c>
      <c r="E134" s="31"/>
      <c r="F134" s="261">
        <f t="shared" si="11"/>
        <v>8000000</v>
      </c>
      <c r="G134" s="261">
        <f t="shared" si="11"/>
        <v>0</v>
      </c>
      <c r="H134" s="261">
        <f t="shared" si="11"/>
        <v>0</v>
      </c>
    </row>
    <row r="135" spans="1:33" x14ac:dyDescent="0.25">
      <c r="A135" s="32" t="s">
        <v>28</v>
      </c>
      <c r="B135" s="23" t="s">
        <v>30</v>
      </c>
      <c r="C135" s="23" t="s">
        <v>76</v>
      </c>
      <c r="D135" s="40" t="s">
        <v>167</v>
      </c>
      <c r="E135" s="31">
        <v>800</v>
      </c>
      <c r="F135" s="261">
        <v>8000000</v>
      </c>
      <c r="G135" s="261">
        <v>0</v>
      </c>
      <c r="H135" s="261">
        <v>0</v>
      </c>
    </row>
    <row r="136" spans="1:33" s="82" customFormat="1" hidden="1" x14ac:dyDescent="0.25">
      <c r="A136" s="18" t="s">
        <v>79</v>
      </c>
      <c r="B136" s="19" t="s">
        <v>63</v>
      </c>
      <c r="C136" s="19"/>
      <c r="D136" s="39"/>
      <c r="E136" s="30"/>
      <c r="F136" s="42">
        <f>F143+F137</f>
        <v>0</v>
      </c>
      <c r="G136" s="42">
        <f>G143+G137</f>
        <v>0</v>
      </c>
      <c r="H136" s="28"/>
      <c r="I136" s="72"/>
      <c r="J136" s="69"/>
      <c r="K136" s="69"/>
      <c r="L136" s="69"/>
      <c r="M136" s="80"/>
      <c r="N136" s="80"/>
      <c r="O136" s="80"/>
      <c r="P136" s="80"/>
      <c r="Q136" s="80"/>
      <c r="R136" s="80"/>
      <c r="S136" s="80"/>
      <c r="T136" s="80"/>
      <c r="U136" s="80"/>
      <c r="V136" s="71"/>
      <c r="W136" s="71"/>
      <c r="X136" s="71"/>
      <c r="Y136" s="71"/>
      <c r="Z136" s="81"/>
      <c r="AA136" s="81"/>
      <c r="AB136" s="81"/>
      <c r="AC136" s="81"/>
      <c r="AD136" s="81"/>
      <c r="AE136" s="81"/>
      <c r="AF136" s="81"/>
      <c r="AG136" s="81"/>
    </row>
    <row r="137" spans="1:33" s="82" customFormat="1" hidden="1" x14ac:dyDescent="0.25">
      <c r="A137" s="18" t="s">
        <v>175</v>
      </c>
      <c r="B137" s="19" t="s">
        <v>63</v>
      </c>
      <c r="C137" s="19" t="s">
        <v>15</v>
      </c>
      <c r="D137" s="39"/>
      <c r="E137" s="30"/>
      <c r="F137" s="42">
        <f t="shared" ref="F137:G139" si="12">F138</f>
        <v>0</v>
      </c>
      <c r="G137" s="42">
        <f t="shared" si="12"/>
        <v>0</v>
      </c>
      <c r="H137" s="28"/>
      <c r="I137" s="72"/>
      <c r="J137" s="69"/>
      <c r="K137" s="69"/>
      <c r="L137" s="69"/>
      <c r="M137" s="80"/>
      <c r="N137" s="80"/>
      <c r="O137" s="80"/>
      <c r="P137" s="80"/>
      <c r="Q137" s="80"/>
      <c r="R137" s="80"/>
      <c r="S137" s="80"/>
      <c r="T137" s="80"/>
      <c r="U137" s="80"/>
      <c r="V137" s="71"/>
      <c r="W137" s="71"/>
      <c r="X137" s="71"/>
      <c r="Y137" s="71"/>
      <c r="Z137" s="81"/>
      <c r="AA137" s="81"/>
      <c r="AB137" s="81"/>
      <c r="AC137" s="81"/>
      <c r="AD137" s="81"/>
      <c r="AE137" s="81"/>
      <c r="AF137" s="81"/>
      <c r="AG137" s="81"/>
    </row>
    <row r="138" spans="1:33" s="82" customFormat="1" hidden="1" x14ac:dyDescent="0.25">
      <c r="A138" s="18" t="s">
        <v>18</v>
      </c>
      <c r="B138" s="19" t="s">
        <v>63</v>
      </c>
      <c r="C138" s="19" t="s">
        <v>15</v>
      </c>
      <c r="D138" s="39" t="s">
        <v>19</v>
      </c>
      <c r="E138" s="30"/>
      <c r="F138" s="42">
        <f t="shared" si="12"/>
        <v>0</v>
      </c>
      <c r="G138" s="42">
        <f t="shared" si="12"/>
        <v>0</v>
      </c>
      <c r="H138" s="28"/>
      <c r="I138" s="72"/>
      <c r="J138" s="69"/>
      <c r="K138" s="69"/>
      <c r="L138" s="69"/>
      <c r="M138" s="80"/>
      <c r="N138" s="80"/>
      <c r="O138" s="80"/>
      <c r="P138" s="80"/>
      <c r="Q138" s="80"/>
      <c r="R138" s="80"/>
      <c r="S138" s="80"/>
      <c r="T138" s="80"/>
      <c r="U138" s="80"/>
      <c r="V138" s="71"/>
      <c r="W138" s="71"/>
      <c r="X138" s="71"/>
      <c r="Y138" s="71"/>
      <c r="Z138" s="81"/>
      <c r="AA138" s="81"/>
      <c r="AB138" s="81"/>
      <c r="AC138" s="81"/>
      <c r="AD138" s="81"/>
      <c r="AE138" s="81"/>
      <c r="AF138" s="81"/>
      <c r="AG138" s="81"/>
    </row>
    <row r="139" spans="1:33" s="82" customFormat="1" hidden="1" x14ac:dyDescent="0.25">
      <c r="A139" s="22" t="s">
        <v>56</v>
      </c>
      <c r="B139" s="23" t="s">
        <v>63</v>
      </c>
      <c r="C139" s="23" t="s">
        <v>15</v>
      </c>
      <c r="D139" s="40" t="s">
        <v>38</v>
      </c>
      <c r="E139" s="31"/>
      <c r="F139" s="28">
        <f t="shared" si="12"/>
        <v>0</v>
      </c>
      <c r="G139" s="28">
        <f t="shared" si="12"/>
        <v>0</v>
      </c>
      <c r="H139" s="28"/>
      <c r="I139" s="72"/>
      <c r="J139" s="69"/>
      <c r="K139" s="69"/>
      <c r="L139" s="69"/>
      <c r="M139" s="80"/>
      <c r="N139" s="80"/>
      <c r="O139" s="80"/>
      <c r="P139" s="80"/>
      <c r="Q139" s="80"/>
      <c r="R139" s="80"/>
      <c r="S139" s="80"/>
      <c r="T139" s="80"/>
      <c r="U139" s="80"/>
      <c r="V139" s="71"/>
      <c r="W139" s="71"/>
      <c r="X139" s="71"/>
      <c r="Y139" s="71"/>
      <c r="Z139" s="81"/>
      <c r="AA139" s="81"/>
      <c r="AB139" s="81"/>
      <c r="AC139" s="81"/>
      <c r="AD139" s="81"/>
      <c r="AE139" s="81"/>
      <c r="AF139" s="81"/>
      <c r="AG139" s="81"/>
    </row>
    <row r="140" spans="1:33" s="82" customFormat="1" ht="30.75" hidden="1" x14ac:dyDescent="0.25">
      <c r="A140" s="22" t="s">
        <v>176</v>
      </c>
      <c r="B140" s="23" t="s">
        <v>63</v>
      </c>
      <c r="C140" s="23" t="s">
        <v>15</v>
      </c>
      <c r="D140" s="40" t="s">
        <v>177</v>
      </c>
      <c r="E140" s="31"/>
      <c r="F140" s="28">
        <f>F141+F142</f>
        <v>0</v>
      </c>
      <c r="G140" s="28">
        <f>G141+G142</f>
        <v>0</v>
      </c>
      <c r="H140" s="28"/>
      <c r="I140" s="72"/>
      <c r="J140" s="69"/>
      <c r="K140" s="69"/>
      <c r="L140" s="69"/>
      <c r="M140" s="80"/>
      <c r="N140" s="80"/>
      <c r="O140" s="80"/>
      <c r="P140" s="80"/>
      <c r="Q140" s="80"/>
      <c r="R140" s="80"/>
      <c r="S140" s="80"/>
      <c r="T140" s="80"/>
      <c r="U140" s="80"/>
      <c r="V140" s="71"/>
      <c r="W140" s="71"/>
      <c r="X140" s="71"/>
      <c r="Y140" s="71"/>
      <c r="Z140" s="81"/>
      <c r="AA140" s="81"/>
      <c r="AB140" s="81"/>
      <c r="AC140" s="81"/>
      <c r="AD140" s="81"/>
      <c r="AE140" s="81"/>
      <c r="AF140" s="81"/>
      <c r="AG140" s="81"/>
    </row>
    <row r="141" spans="1:33" s="82" customFormat="1" ht="30.75" hidden="1" x14ac:dyDescent="0.25">
      <c r="A141" s="22" t="s">
        <v>26</v>
      </c>
      <c r="B141" s="23" t="s">
        <v>63</v>
      </c>
      <c r="C141" s="23" t="s">
        <v>15</v>
      </c>
      <c r="D141" s="40" t="s">
        <v>177</v>
      </c>
      <c r="E141" s="31">
        <v>200</v>
      </c>
      <c r="F141" s="28">
        <v>0</v>
      </c>
      <c r="G141" s="28">
        <v>0</v>
      </c>
      <c r="H141" s="28"/>
      <c r="I141" s="72"/>
      <c r="J141" s="69"/>
      <c r="K141" s="69"/>
      <c r="L141" s="69"/>
      <c r="M141" s="80"/>
      <c r="N141" s="80"/>
      <c r="O141" s="80"/>
      <c r="P141" s="80"/>
      <c r="Q141" s="80"/>
      <c r="R141" s="80"/>
      <c r="S141" s="80"/>
      <c r="T141" s="80"/>
      <c r="U141" s="80"/>
      <c r="V141" s="71"/>
      <c r="W141" s="71"/>
      <c r="X141" s="71"/>
      <c r="Y141" s="71"/>
      <c r="Z141" s="81"/>
      <c r="AA141" s="81"/>
      <c r="AB141" s="81"/>
      <c r="AC141" s="81"/>
      <c r="AD141" s="81"/>
      <c r="AE141" s="81"/>
      <c r="AF141" s="81"/>
      <c r="AG141" s="81"/>
    </row>
    <row r="142" spans="1:33" s="82" customFormat="1" ht="45.75" hidden="1" x14ac:dyDescent="0.25">
      <c r="A142" s="32" t="s">
        <v>54</v>
      </c>
      <c r="B142" s="23" t="s">
        <v>63</v>
      </c>
      <c r="C142" s="23" t="s">
        <v>15</v>
      </c>
      <c r="D142" s="40" t="s">
        <v>177</v>
      </c>
      <c r="E142" s="31">
        <v>600</v>
      </c>
      <c r="F142" s="28">
        <v>0</v>
      </c>
      <c r="G142" s="28">
        <v>0</v>
      </c>
      <c r="H142" s="28"/>
      <c r="I142" s="72"/>
      <c r="J142" s="69"/>
      <c r="K142" s="69"/>
      <c r="L142" s="69"/>
      <c r="M142" s="80"/>
      <c r="N142" s="80"/>
      <c r="O142" s="80"/>
      <c r="P142" s="80"/>
      <c r="Q142" s="80"/>
      <c r="R142" s="80"/>
      <c r="S142" s="80"/>
      <c r="T142" s="80"/>
      <c r="U142" s="80"/>
      <c r="V142" s="71"/>
      <c r="W142" s="71"/>
      <c r="X142" s="71"/>
      <c r="Y142" s="71"/>
      <c r="Z142" s="81"/>
      <c r="AA142" s="81"/>
      <c r="AB142" s="81"/>
      <c r="AC142" s="81"/>
      <c r="AD142" s="81"/>
      <c r="AE142" s="81"/>
      <c r="AF142" s="81"/>
      <c r="AG142" s="81"/>
    </row>
    <row r="143" spans="1:33" s="82" customFormat="1" hidden="1" x14ac:dyDescent="0.25">
      <c r="A143" s="18" t="s">
        <v>80</v>
      </c>
      <c r="B143" s="19" t="s">
        <v>63</v>
      </c>
      <c r="C143" s="19" t="s">
        <v>25</v>
      </c>
      <c r="D143" s="39"/>
      <c r="E143" s="30"/>
      <c r="F143" s="42">
        <f t="shared" ref="F143:G146" si="13">F144</f>
        <v>0</v>
      </c>
      <c r="G143" s="42">
        <f t="shared" si="13"/>
        <v>0</v>
      </c>
      <c r="H143" s="28"/>
      <c r="I143" s="72"/>
      <c r="J143" s="69"/>
      <c r="K143" s="69"/>
      <c r="L143" s="69"/>
      <c r="M143" s="80"/>
      <c r="N143" s="80"/>
      <c r="O143" s="80"/>
      <c r="P143" s="80"/>
      <c r="Q143" s="80"/>
      <c r="R143" s="80"/>
      <c r="S143" s="80"/>
      <c r="T143" s="80"/>
      <c r="U143" s="80"/>
      <c r="V143" s="71"/>
      <c r="W143" s="71"/>
      <c r="X143" s="71"/>
      <c r="Y143" s="71"/>
      <c r="Z143" s="81"/>
      <c r="AA143" s="81"/>
      <c r="AB143" s="81"/>
      <c r="AC143" s="81"/>
      <c r="AD143" s="81"/>
      <c r="AE143" s="81"/>
      <c r="AF143" s="81"/>
      <c r="AG143" s="81"/>
    </row>
    <row r="144" spans="1:33" s="82" customFormat="1" hidden="1" x14ac:dyDescent="0.25">
      <c r="A144" s="18" t="s">
        <v>18</v>
      </c>
      <c r="B144" s="19" t="s">
        <v>63</v>
      </c>
      <c r="C144" s="19" t="s">
        <v>25</v>
      </c>
      <c r="D144" s="39" t="s">
        <v>19</v>
      </c>
      <c r="E144" s="30"/>
      <c r="F144" s="42">
        <f t="shared" si="13"/>
        <v>0</v>
      </c>
      <c r="G144" s="42">
        <f t="shared" si="13"/>
        <v>0</v>
      </c>
      <c r="H144" s="28"/>
      <c r="I144" s="72"/>
      <c r="J144" s="69"/>
      <c r="K144" s="69"/>
      <c r="L144" s="69"/>
      <c r="M144" s="80"/>
      <c r="N144" s="80"/>
      <c r="O144" s="80"/>
      <c r="P144" s="80"/>
      <c r="Q144" s="80"/>
      <c r="R144" s="80"/>
      <c r="S144" s="80"/>
      <c r="T144" s="80"/>
      <c r="U144" s="80"/>
      <c r="V144" s="71"/>
      <c r="W144" s="71"/>
      <c r="X144" s="71"/>
      <c r="Y144" s="71"/>
      <c r="Z144" s="81"/>
      <c r="AA144" s="81"/>
      <c r="AB144" s="81"/>
      <c r="AC144" s="81"/>
      <c r="AD144" s="81"/>
      <c r="AE144" s="81"/>
      <c r="AF144" s="81"/>
      <c r="AG144" s="81"/>
    </row>
    <row r="145" spans="1:33" hidden="1" x14ac:dyDescent="0.25">
      <c r="A145" s="22" t="s">
        <v>56</v>
      </c>
      <c r="B145" s="23" t="s">
        <v>63</v>
      </c>
      <c r="C145" s="23" t="s">
        <v>25</v>
      </c>
      <c r="D145" s="40" t="s">
        <v>38</v>
      </c>
      <c r="E145" s="31"/>
      <c r="F145" s="28">
        <f t="shared" si="13"/>
        <v>0</v>
      </c>
      <c r="G145" s="28">
        <f t="shared" si="13"/>
        <v>0</v>
      </c>
      <c r="H145" s="28"/>
    </row>
    <row r="146" spans="1:33" hidden="1" x14ac:dyDescent="0.25">
      <c r="A146" s="22" t="s">
        <v>178</v>
      </c>
      <c r="B146" s="23" t="s">
        <v>63</v>
      </c>
      <c r="C146" s="23" t="s">
        <v>25</v>
      </c>
      <c r="D146" s="40" t="s">
        <v>179</v>
      </c>
      <c r="E146" s="31"/>
      <c r="F146" s="28">
        <f t="shared" si="13"/>
        <v>0</v>
      </c>
      <c r="G146" s="28">
        <f t="shared" si="13"/>
        <v>0</v>
      </c>
      <c r="H146" s="28"/>
    </row>
    <row r="147" spans="1:33" ht="30.75" hidden="1" x14ac:dyDescent="0.25">
      <c r="A147" s="22" t="s">
        <v>26</v>
      </c>
      <c r="B147" s="23" t="s">
        <v>63</v>
      </c>
      <c r="C147" s="23" t="s">
        <v>25</v>
      </c>
      <c r="D147" s="40" t="s">
        <v>179</v>
      </c>
      <c r="E147" s="31">
        <v>200</v>
      </c>
      <c r="F147" s="28">
        <v>0</v>
      </c>
      <c r="G147" s="28">
        <v>0</v>
      </c>
      <c r="H147" s="28"/>
    </row>
    <row r="148" spans="1:33" s="82" customFormat="1" x14ac:dyDescent="0.25">
      <c r="A148" s="34" t="s">
        <v>85</v>
      </c>
      <c r="B148" s="19" t="s">
        <v>34</v>
      </c>
      <c r="C148" s="19"/>
      <c r="D148" s="39"/>
      <c r="E148" s="30"/>
      <c r="F148" s="42">
        <f>F155+F149+F179+F170+F165</f>
        <v>127222242.27</v>
      </c>
      <c r="G148" s="42">
        <f>G155+G149+G179+G170+G165</f>
        <v>9654354.6999999993</v>
      </c>
      <c r="H148" s="42">
        <f>H155+H149+H179+H170+H165</f>
        <v>9438084.1300000008</v>
      </c>
      <c r="I148" s="72"/>
      <c r="J148" s="69"/>
      <c r="K148" s="69"/>
      <c r="L148" s="69"/>
      <c r="M148" s="80"/>
      <c r="N148" s="80"/>
      <c r="O148" s="80"/>
      <c r="P148" s="80"/>
      <c r="Q148" s="80"/>
      <c r="R148" s="80"/>
      <c r="S148" s="80"/>
      <c r="T148" s="80"/>
      <c r="U148" s="80"/>
      <c r="V148" s="71"/>
      <c r="W148" s="71"/>
      <c r="X148" s="71"/>
      <c r="Y148" s="71"/>
      <c r="Z148" s="81"/>
      <c r="AA148" s="81"/>
      <c r="AB148" s="81"/>
      <c r="AC148" s="81"/>
      <c r="AD148" s="81"/>
      <c r="AE148" s="81"/>
      <c r="AF148" s="81"/>
      <c r="AG148" s="81"/>
    </row>
    <row r="149" spans="1:33" s="82" customFormat="1" x14ac:dyDescent="0.25">
      <c r="A149" s="34" t="s">
        <v>86</v>
      </c>
      <c r="B149" s="19" t="s">
        <v>34</v>
      </c>
      <c r="C149" s="19" t="s">
        <v>15</v>
      </c>
      <c r="D149" s="39"/>
      <c r="E149" s="30"/>
      <c r="F149" s="263">
        <f t="shared" ref="F149:H151" si="14">F150</f>
        <v>32427270.859999999</v>
      </c>
      <c r="G149" s="263">
        <f t="shared" si="14"/>
        <v>7324190.7000000002</v>
      </c>
      <c r="H149" s="263">
        <f t="shared" si="14"/>
        <v>7037903.1100000003</v>
      </c>
      <c r="I149" s="72"/>
      <c r="J149" s="69"/>
      <c r="K149" s="69"/>
      <c r="L149" s="69"/>
      <c r="M149" s="80"/>
      <c r="N149" s="80"/>
      <c r="O149" s="80"/>
      <c r="P149" s="80"/>
      <c r="Q149" s="80"/>
      <c r="R149" s="80"/>
      <c r="S149" s="80"/>
      <c r="T149" s="80"/>
      <c r="U149" s="80"/>
      <c r="V149" s="71"/>
      <c r="W149" s="71"/>
      <c r="X149" s="71"/>
      <c r="Y149" s="71"/>
      <c r="Z149" s="81"/>
      <c r="AA149" s="81"/>
      <c r="AB149" s="81"/>
      <c r="AC149" s="81"/>
      <c r="AD149" s="81"/>
      <c r="AE149" s="81"/>
      <c r="AF149" s="81"/>
      <c r="AG149" s="81"/>
    </row>
    <row r="150" spans="1:33" s="82" customFormat="1" x14ac:dyDescent="0.25">
      <c r="A150" s="18" t="s">
        <v>18</v>
      </c>
      <c r="B150" s="19" t="s">
        <v>34</v>
      </c>
      <c r="C150" s="19" t="s">
        <v>15</v>
      </c>
      <c r="D150" s="39" t="s">
        <v>19</v>
      </c>
      <c r="E150" s="30"/>
      <c r="F150" s="263">
        <f t="shared" si="14"/>
        <v>32427270.859999999</v>
      </c>
      <c r="G150" s="263">
        <f t="shared" si="14"/>
        <v>7324190.7000000002</v>
      </c>
      <c r="H150" s="263">
        <f t="shared" si="14"/>
        <v>7037903.1100000003</v>
      </c>
      <c r="I150" s="72"/>
      <c r="J150" s="69"/>
      <c r="K150" s="69"/>
      <c r="L150" s="69"/>
      <c r="M150" s="80"/>
      <c r="N150" s="80"/>
      <c r="O150" s="80"/>
      <c r="P150" s="80"/>
      <c r="Q150" s="80"/>
      <c r="R150" s="80"/>
      <c r="S150" s="80"/>
      <c r="T150" s="80"/>
      <c r="U150" s="80"/>
      <c r="V150" s="71"/>
      <c r="W150" s="71"/>
      <c r="X150" s="71"/>
      <c r="Y150" s="71"/>
      <c r="Z150" s="81"/>
      <c r="AA150" s="81"/>
      <c r="AB150" s="81"/>
      <c r="AC150" s="81"/>
      <c r="AD150" s="81"/>
      <c r="AE150" s="81"/>
      <c r="AF150" s="81"/>
      <c r="AG150" s="81"/>
    </row>
    <row r="151" spans="1:33" s="82" customFormat="1" x14ac:dyDescent="0.25">
      <c r="A151" s="22" t="s">
        <v>56</v>
      </c>
      <c r="B151" s="23" t="s">
        <v>34</v>
      </c>
      <c r="C151" s="23" t="s">
        <v>15</v>
      </c>
      <c r="D151" s="40" t="s">
        <v>38</v>
      </c>
      <c r="E151" s="31"/>
      <c r="F151" s="261">
        <f t="shared" si="14"/>
        <v>32427270.859999999</v>
      </c>
      <c r="G151" s="261">
        <f t="shared" si="14"/>
        <v>7324190.7000000002</v>
      </c>
      <c r="H151" s="261">
        <f t="shared" si="14"/>
        <v>7037903.1100000003</v>
      </c>
      <c r="I151" s="72"/>
      <c r="J151" s="69"/>
      <c r="K151" s="69"/>
      <c r="L151" s="69"/>
      <c r="M151" s="80"/>
      <c r="N151" s="80"/>
      <c r="O151" s="80"/>
      <c r="P151" s="80"/>
      <c r="Q151" s="80"/>
      <c r="R151" s="80"/>
      <c r="S151" s="80"/>
      <c r="T151" s="80"/>
      <c r="U151" s="80"/>
      <c r="V151" s="71"/>
      <c r="W151" s="71"/>
      <c r="X151" s="71"/>
      <c r="Y151" s="71"/>
      <c r="Z151" s="81"/>
      <c r="AA151" s="81"/>
      <c r="AB151" s="81"/>
      <c r="AC151" s="81"/>
      <c r="AD151" s="81"/>
      <c r="AE151" s="81"/>
      <c r="AF151" s="81"/>
      <c r="AG151" s="81"/>
    </row>
    <row r="152" spans="1:33" s="82" customFormat="1" ht="30.75" x14ac:dyDescent="0.25">
      <c r="A152" s="22" t="s">
        <v>166</v>
      </c>
      <c r="B152" s="23" t="s">
        <v>34</v>
      </c>
      <c r="C152" s="23" t="s">
        <v>15</v>
      </c>
      <c r="D152" s="40" t="s">
        <v>167</v>
      </c>
      <c r="E152" s="31"/>
      <c r="F152" s="261">
        <f>F154+F153</f>
        <v>32427270.859999999</v>
      </c>
      <c r="G152" s="261">
        <f>G154+G153</f>
        <v>7324190.7000000002</v>
      </c>
      <c r="H152" s="261">
        <f>H154+H153</f>
        <v>7037903.1100000003</v>
      </c>
      <c r="I152" s="72"/>
      <c r="J152" s="69"/>
      <c r="K152" s="69"/>
      <c r="L152" s="69"/>
      <c r="M152" s="80"/>
      <c r="N152" s="80"/>
      <c r="O152" s="80"/>
      <c r="P152" s="80"/>
      <c r="Q152" s="80"/>
      <c r="R152" s="80"/>
      <c r="S152" s="80"/>
      <c r="T152" s="80"/>
      <c r="U152" s="80"/>
      <c r="V152" s="71"/>
      <c r="W152" s="71"/>
      <c r="X152" s="71"/>
      <c r="Y152" s="71"/>
      <c r="Z152" s="81"/>
      <c r="AA152" s="81"/>
      <c r="AB152" s="81"/>
      <c r="AC152" s="81"/>
      <c r="AD152" s="81"/>
      <c r="AE152" s="81"/>
      <c r="AF152" s="81"/>
      <c r="AG152" s="81"/>
    </row>
    <row r="153" spans="1:33" s="82" customFormat="1" ht="30.75" x14ac:dyDescent="0.25">
      <c r="A153" s="22" t="s">
        <v>26</v>
      </c>
      <c r="B153" s="23" t="s">
        <v>34</v>
      </c>
      <c r="C153" s="23" t="s">
        <v>15</v>
      </c>
      <c r="D153" s="40" t="s">
        <v>167</v>
      </c>
      <c r="E153" s="31">
        <v>200</v>
      </c>
      <c r="F153" s="261">
        <v>24816792.579999998</v>
      </c>
      <c r="G153" s="261">
        <v>0</v>
      </c>
      <c r="H153" s="261"/>
      <c r="I153" s="72"/>
      <c r="J153" s="69"/>
      <c r="K153" s="69"/>
      <c r="L153" s="69"/>
      <c r="M153" s="73"/>
      <c r="N153" s="80"/>
      <c r="O153" s="80"/>
      <c r="P153" s="80"/>
      <c r="Q153" s="80"/>
      <c r="R153" s="80"/>
      <c r="S153" s="80"/>
      <c r="T153" s="80"/>
      <c r="U153" s="80"/>
      <c r="V153" s="71"/>
      <c r="W153" s="71"/>
      <c r="X153" s="71"/>
      <c r="Y153" s="71"/>
      <c r="Z153" s="81"/>
      <c r="AA153" s="81"/>
      <c r="AB153" s="81"/>
      <c r="AC153" s="81"/>
      <c r="AD153" s="81"/>
      <c r="AE153" s="81"/>
      <c r="AF153" s="81"/>
      <c r="AG153" s="81"/>
    </row>
    <row r="154" spans="1:33" s="82" customFormat="1" x14ac:dyDescent="0.25">
      <c r="A154" s="32" t="s">
        <v>28</v>
      </c>
      <c r="B154" s="23" t="s">
        <v>34</v>
      </c>
      <c r="C154" s="23" t="s">
        <v>15</v>
      </c>
      <c r="D154" s="40" t="s">
        <v>167</v>
      </c>
      <c r="E154" s="31">
        <v>800</v>
      </c>
      <c r="F154" s="264">
        <v>7610478.2800000003</v>
      </c>
      <c r="G154" s="261">
        <v>7324190.7000000002</v>
      </c>
      <c r="H154" s="261">
        <v>7037903.1100000003</v>
      </c>
      <c r="I154" s="87"/>
      <c r="J154" s="88"/>
      <c r="K154" s="69"/>
      <c r="L154" s="69"/>
      <c r="M154" s="80"/>
      <c r="N154" s="80"/>
      <c r="O154" s="80"/>
      <c r="P154" s="80"/>
      <c r="Q154" s="80"/>
      <c r="R154" s="80"/>
      <c r="S154" s="80"/>
      <c r="T154" s="80"/>
      <c r="U154" s="80"/>
      <c r="V154" s="71"/>
      <c r="W154" s="71"/>
      <c r="X154" s="71"/>
      <c r="Y154" s="71"/>
      <c r="Z154" s="81"/>
      <c r="AA154" s="81"/>
      <c r="AB154" s="81"/>
      <c r="AC154" s="81"/>
      <c r="AD154" s="81"/>
      <c r="AE154" s="81"/>
      <c r="AF154" s="81"/>
      <c r="AG154" s="81"/>
    </row>
    <row r="155" spans="1:33" s="82" customFormat="1" x14ac:dyDescent="0.25">
      <c r="A155" s="34" t="s">
        <v>90</v>
      </c>
      <c r="B155" s="19" t="s">
        <v>34</v>
      </c>
      <c r="C155" s="19" t="s">
        <v>17</v>
      </c>
      <c r="D155" s="39"/>
      <c r="E155" s="30"/>
      <c r="F155" s="42">
        <f t="shared" ref="F155:H156" si="15">F156</f>
        <v>67739680.629999995</v>
      </c>
      <c r="G155" s="42">
        <f t="shared" si="15"/>
        <v>0</v>
      </c>
      <c r="H155" s="42">
        <f t="shared" si="15"/>
        <v>0</v>
      </c>
      <c r="I155" s="72"/>
      <c r="J155" s="69"/>
      <c r="K155" s="69"/>
      <c r="L155" s="69"/>
      <c r="M155" s="80"/>
      <c r="N155" s="80"/>
      <c r="O155" s="80"/>
      <c r="P155" s="80"/>
      <c r="Q155" s="80"/>
      <c r="R155" s="80"/>
      <c r="S155" s="80"/>
      <c r="T155" s="80"/>
      <c r="U155" s="80"/>
      <c r="V155" s="71"/>
      <c r="W155" s="71"/>
      <c r="X155" s="71"/>
      <c r="Y155" s="71"/>
      <c r="Z155" s="81"/>
      <c r="AA155" s="81"/>
      <c r="AB155" s="81"/>
      <c r="AC155" s="81"/>
      <c r="AD155" s="81"/>
      <c r="AE155" s="81"/>
      <c r="AF155" s="81"/>
      <c r="AG155" s="81"/>
    </row>
    <row r="156" spans="1:33" s="82" customFormat="1" x14ac:dyDescent="0.25">
      <c r="A156" s="18" t="s">
        <v>18</v>
      </c>
      <c r="B156" s="19" t="s">
        <v>34</v>
      </c>
      <c r="C156" s="19" t="s">
        <v>17</v>
      </c>
      <c r="D156" s="39" t="s">
        <v>19</v>
      </c>
      <c r="E156" s="30"/>
      <c r="F156" s="42">
        <f t="shared" si="15"/>
        <v>67739680.629999995</v>
      </c>
      <c r="G156" s="42">
        <f t="shared" si="15"/>
        <v>0</v>
      </c>
      <c r="H156" s="42">
        <f t="shared" si="15"/>
        <v>0</v>
      </c>
      <c r="I156" s="72"/>
      <c r="J156" s="69"/>
      <c r="K156" s="69"/>
      <c r="L156" s="69"/>
      <c r="M156" s="80"/>
      <c r="N156" s="80"/>
      <c r="O156" s="80"/>
      <c r="P156" s="80"/>
      <c r="Q156" s="80"/>
      <c r="R156" s="80"/>
      <c r="S156" s="80"/>
      <c r="T156" s="80"/>
      <c r="U156" s="80"/>
      <c r="V156" s="71"/>
      <c r="W156" s="71"/>
      <c r="X156" s="71"/>
      <c r="Y156" s="71"/>
      <c r="Z156" s="81"/>
      <c r="AA156" s="81"/>
      <c r="AB156" s="81"/>
      <c r="AC156" s="81"/>
      <c r="AD156" s="81"/>
      <c r="AE156" s="81"/>
      <c r="AF156" s="81"/>
      <c r="AG156" s="81"/>
    </row>
    <row r="157" spans="1:33" x14ac:dyDescent="0.25">
      <c r="A157" s="22" t="s">
        <v>56</v>
      </c>
      <c r="B157" s="23" t="s">
        <v>34</v>
      </c>
      <c r="C157" s="23" t="s">
        <v>17</v>
      </c>
      <c r="D157" s="40" t="s">
        <v>38</v>
      </c>
      <c r="E157" s="31"/>
      <c r="F157" s="28">
        <f>F158+F163</f>
        <v>67739680.629999995</v>
      </c>
      <c r="G157" s="28">
        <f>G158+G163</f>
        <v>0</v>
      </c>
      <c r="H157" s="28">
        <f>H158+H163</f>
        <v>0</v>
      </c>
    </row>
    <row r="158" spans="1:33" ht="30.75" x14ac:dyDescent="0.25">
      <c r="A158" s="22" t="s">
        <v>166</v>
      </c>
      <c r="B158" s="23" t="s">
        <v>34</v>
      </c>
      <c r="C158" s="23" t="s">
        <v>17</v>
      </c>
      <c r="D158" s="40" t="s">
        <v>167</v>
      </c>
      <c r="E158" s="31"/>
      <c r="F158" s="261">
        <f>SUM(F159:F162)</f>
        <v>17739680.629999999</v>
      </c>
      <c r="G158" s="261">
        <f t="shared" ref="G158:H158" si="16">SUM(G160:G162)</f>
        <v>0</v>
      </c>
      <c r="H158" s="261">
        <f t="shared" si="16"/>
        <v>0</v>
      </c>
    </row>
    <row r="159" spans="1:33" ht="75.75" x14ac:dyDescent="0.25">
      <c r="A159" s="22" t="s">
        <v>22</v>
      </c>
      <c r="B159" s="23" t="s">
        <v>34</v>
      </c>
      <c r="C159" s="23" t="s">
        <v>17</v>
      </c>
      <c r="D159" s="40" t="s">
        <v>167</v>
      </c>
      <c r="E159" s="31">
        <v>100</v>
      </c>
      <c r="F159" s="261">
        <v>500000</v>
      </c>
      <c r="G159" s="261">
        <v>0</v>
      </c>
      <c r="H159" s="261">
        <v>0</v>
      </c>
    </row>
    <row r="160" spans="1:33" ht="30.75" x14ac:dyDescent="0.25">
      <c r="A160" s="22" t="s">
        <v>26</v>
      </c>
      <c r="B160" s="23" t="s">
        <v>34</v>
      </c>
      <c r="C160" s="23" t="s">
        <v>17</v>
      </c>
      <c r="D160" s="40" t="s">
        <v>167</v>
      </c>
      <c r="E160" s="31">
        <v>200</v>
      </c>
      <c r="F160" s="261">
        <f>8787586.51+1038253.77</f>
        <v>9825840.2799999993</v>
      </c>
      <c r="G160" s="261">
        <v>0</v>
      </c>
      <c r="H160" s="261">
        <v>0</v>
      </c>
    </row>
    <row r="161" spans="1:33" ht="30.75" hidden="1" x14ac:dyDescent="0.25">
      <c r="A161" s="22" t="s">
        <v>48</v>
      </c>
      <c r="B161" s="23" t="s">
        <v>34</v>
      </c>
      <c r="C161" s="23" t="s">
        <v>17</v>
      </c>
      <c r="D161" s="40" t="s">
        <v>167</v>
      </c>
      <c r="E161" s="31">
        <v>400</v>
      </c>
      <c r="F161" s="261">
        <v>0</v>
      </c>
      <c r="G161" s="261">
        <v>0</v>
      </c>
      <c r="H161" s="261">
        <v>0</v>
      </c>
    </row>
    <row r="162" spans="1:33" ht="45.75" x14ac:dyDescent="0.25">
      <c r="A162" s="32" t="s">
        <v>54</v>
      </c>
      <c r="B162" s="23" t="s">
        <v>34</v>
      </c>
      <c r="C162" s="23" t="s">
        <v>17</v>
      </c>
      <c r="D162" s="40" t="s">
        <v>167</v>
      </c>
      <c r="E162" s="31">
        <v>600</v>
      </c>
      <c r="F162" s="261">
        <f>6774920.62+55000+583919.73</f>
        <v>7413840.3499999996</v>
      </c>
      <c r="G162" s="261">
        <v>0</v>
      </c>
      <c r="H162" s="261">
        <v>0</v>
      </c>
    </row>
    <row r="163" spans="1:33" ht="75.75" x14ac:dyDescent="0.25">
      <c r="A163" s="32" t="s">
        <v>538</v>
      </c>
      <c r="B163" s="23" t="s">
        <v>34</v>
      </c>
      <c r="C163" s="23" t="s">
        <v>17</v>
      </c>
      <c r="D163" s="40" t="s">
        <v>537</v>
      </c>
      <c r="E163" s="31"/>
      <c r="F163" s="261">
        <f>F164</f>
        <v>50000000</v>
      </c>
      <c r="G163" s="261">
        <f>G164</f>
        <v>0</v>
      </c>
      <c r="H163" s="261">
        <f>H164</f>
        <v>0</v>
      </c>
    </row>
    <row r="164" spans="1:33" ht="30.75" x14ac:dyDescent="0.25">
      <c r="A164" s="22" t="s">
        <v>48</v>
      </c>
      <c r="B164" s="23" t="s">
        <v>34</v>
      </c>
      <c r="C164" s="23" t="s">
        <v>17</v>
      </c>
      <c r="D164" s="40" t="s">
        <v>537</v>
      </c>
      <c r="E164" s="31">
        <v>400</v>
      </c>
      <c r="F164" s="261">
        <v>50000000</v>
      </c>
      <c r="G164" s="261">
        <v>0</v>
      </c>
      <c r="H164" s="261">
        <v>0</v>
      </c>
    </row>
    <row r="165" spans="1:33" s="82" customFormat="1" x14ac:dyDescent="0.25">
      <c r="A165" s="18" t="s">
        <v>94</v>
      </c>
      <c r="B165" s="19" t="s">
        <v>34</v>
      </c>
      <c r="C165" s="19" t="s">
        <v>25</v>
      </c>
      <c r="D165" s="39"/>
      <c r="E165" s="30"/>
      <c r="F165" s="263">
        <f>F166</f>
        <v>21801188.489999998</v>
      </c>
      <c r="G165" s="263">
        <f t="shared" ref="G165:H167" si="17">G166</f>
        <v>0</v>
      </c>
      <c r="H165" s="263">
        <f t="shared" si="17"/>
        <v>0</v>
      </c>
      <c r="I165" s="289"/>
      <c r="J165" s="71"/>
      <c r="K165" s="71"/>
      <c r="L165" s="71"/>
      <c r="M165" s="80"/>
      <c r="N165" s="80"/>
      <c r="O165" s="80"/>
      <c r="P165" s="80"/>
      <c r="Q165" s="80"/>
      <c r="R165" s="80"/>
      <c r="S165" s="80"/>
      <c r="T165" s="80"/>
      <c r="U165" s="80"/>
      <c r="V165" s="71"/>
      <c r="W165" s="71"/>
      <c r="X165" s="71"/>
      <c r="Y165" s="71"/>
      <c r="Z165" s="81"/>
      <c r="AA165" s="81"/>
      <c r="AB165" s="81"/>
      <c r="AC165" s="81"/>
      <c r="AD165" s="81"/>
      <c r="AE165" s="81"/>
      <c r="AF165" s="81"/>
      <c r="AG165" s="81"/>
    </row>
    <row r="166" spans="1:33" s="82" customFormat="1" x14ac:dyDescent="0.25">
      <c r="A166" s="18" t="s">
        <v>18</v>
      </c>
      <c r="B166" s="19" t="s">
        <v>34</v>
      </c>
      <c r="C166" s="19" t="s">
        <v>25</v>
      </c>
      <c r="D166" s="39" t="s">
        <v>19</v>
      </c>
      <c r="E166" s="30"/>
      <c r="F166" s="263">
        <f>F167</f>
        <v>21801188.489999998</v>
      </c>
      <c r="G166" s="263">
        <f t="shared" si="17"/>
        <v>0</v>
      </c>
      <c r="H166" s="263">
        <f t="shared" si="17"/>
        <v>0</v>
      </c>
      <c r="I166" s="289"/>
      <c r="J166" s="71"/>
      <c r="K166" s="71"/>
      <c r="L166" s="71"/>
      <c r="M166" s="80"/>
      <c r="N166" s="80"/>
      <c r="O166" s="80"/>
      <c r="P166" s="80"/>
      <c r="Q166" s="80"/>
      <c r="R166" s="80"/>
      <c r="S166" s="80"/>
      <c r="T166" s="80"/>
      <c r="U166" s="80"/>
      <c r="V166" s="71"/>
      <c r="W166" s="71"/>
      <c r="X166" s="71"/>
      <c r="Y166" s="71"/>
      <c r="Z166" s="81"/>
      <c r="AA166" s="81"/>
      <c r="AB166" s="81"/>
      <c r="AC166" s="81"/>
      <c r="AD166" s="81"/>
      <c r="AE166" s="81"/>
      <c r="AF166" s="81"/>
      <c r="AG166" s="81"/>
    </row>
    <row r="167" spans="1:33" s="82" customFormat="1" x14ac:dyDescent="0.25">
      <c r="A167" s="22" t="s">
        <v>56</v>
      </c>
      <c r="B167" s="23" t="s">
        <v>34</v>
      </c>
      <c r="C167" s="23" t="s">
        <v>25</v>
      </c>
      <c r="D167" s="40" t="s">
        <v>38</v>
      </c>
      <c r="E167" s="30"/>
      <c r="F167" s="263">
        <f>F168</f>
        <v>21801188.489999998</v>
      </c>
      <c r="G167" s="263">
        <f t="shared" si="17"/>
        <v>0</v>
      </c>
      <c r="H167" s="263">
        <f t="shared" si="17"/>
        <v>0</v>
      </c>
      <c r="I167" s="289"/>
      <c r="J167" s="71"/>
      <c r="K167" s="71"/>
      <c r="L167" s="71"/>
      <c r="M167" s="80"/>
      <c r="N167" s="80"/>
      <c r="O167" s="80"/>
      <c r="P167" s="80"/>
      <c r="Q167" s="80"/>
      <c r="R167" s="80"/>
      <c r="S167" s="80"/>
      <c r="T167" s="80"/>
      <c r="U167" s="80"/>
      <c r="V167" s="71"/>
      <c r="W167" s="71"/>
      <c r="X167" s="71"/>
      <c r="Y167" s="71"/>
      <c r="Z167" s="81"/>
      <c r="AA167" s="81"/>
      <c r="AB167" s="81"/>
      <c r="AC167" s="81"/>
      <c r="AD167" s="81"/>
      <c r="AE167" s="81"/>
      <c r="AF167" s="81"/>
      <c r="AG167" s="81"/>
    </row>
    <row r="168" spans="1:33" ht="30.75" x14ac:dyDescent="0.25">
      <c r="A168" s="22" t="s">
        <v>166</v>
      </c>
      <c r="B168" s="23" t="s">
        <v>34</v>
      </c>
      <c r="C168" s="23" t="s">
        <v>25</v>
      </c>
      <c r="D168" s="40" t="s">
        <v>167</v>
      </c>
      <c r="E168" s="31"/>
      <c r="F168" s="261">
        <f>F169</f>
        <v>21801188.489999998</v>
      </c>
      <c r="G168" s="261">
        <f t="shared" ref="G168:H168" si="18">G169</f>
        <v>0</v>
      </c>
      <c r="H168" s="261">
        <f t="shared" si="18"/>
        <v>0</v>
      </c>
    </row>
    <row r="169" spans="1:33" ht="30.75" x14ac:dyDescent="0.25">
      <c r="A169" s="22" t="s">
        <v>26</v>
      </c>
      <c r="B169" s="23" t="s">
        <v>34</v>
      </c>
      <c r="C169" s="23" t="s">
        <v>25</v>
      </c>
      <c r="D169" s="40" t="s">
        <v>167</v>
      </c>
      <c r="E169" s="31">
        <v>200</v>
      </c>
      <c r="F169" s="261">
        <v>21801188.489999998</v>
      </c>
      <c r="G169" s="261">
        <v>0</v>
      </c>
      <c r="H169" s="261">
        <v>0</v>
      </c>
    </row>
    <row r="170" spans="1:33" ht="31.5" x14ac:dyDescent="0.25">
      <c r="A170" s="18" t="s">
        <v>536</v>
      </c>
      <c r="B170" s="19" t="s">
        <v>34</v>
      </c>
      <c r="C170" s="19" t="s">
        <v>63</v>
      </c>
      <c r="D170" s="39"/>
      <c r="E170" s="30"/>
      <c r="F170" s="263">
        <f t="shared" ref="F170:H171" si="19">F171</f>
        <v>2259971</v>
      </c>
      <c r="G170" s="263">
        <f t="shared" si="19"/>
        <v>2330164</v>
      </c>
      <c r="H170" s="263">
        <f t="shared" si="19"/>
        <v>2400181.02</v>
      </c>
    </row>
    <row r="171" spans="1:33" x14ac:dyDescent="0.25">
      <c r="A171" s="18" t="s">
        <v>18</v>
      </c>
      <c r="B171" s="19" t="s">
        <v>34</v>
      </c>
      <c r="C171" s="19" t="s">
        <v>63</v>
      </c>
      <c r="D171" s="39" t="s">
        <v>19</v>
      </c>
      <c r="E171" s="30"/>
      <c r="F171" s="263">
        <f t="shared" si="19"/>
        <v>2259971</v>
      </c>
      <c r="G171" s="263">
        <f t="shared" si="19"/>
        <v>2330164</v>
      </c>
      <c r="H171" s="263">
        <f t="shared" si="19"/>
        <v>2400181.02</v>
      </c>
    </row>
    <row r="172" spans="1:33" ht="30.75" x14ac:dyDescent="0.25">
      <c r="A172" s="22" t="s">
        <v>220</v>
      </c>
      <c r="B172" s="23" t="s">
        <v>34</v>
      </c>
      <c r="C172" s="23" t="s">
        <v>63</v>
      </c>
      <c r="D172" s="31">
        <v>9910000000</v>
      </c>
      <c r="E172" s="31"/>
      <c r="F172" s="261">
        <f>F173+F175+F177</f>
        <v>2259971</v>
      </c>
      <c r="G172" s="261">
        <f>G173+G175+G177</f>
        <v>2330164</v>
      </c>
      <c r="H172" s="261">
        <f>H173+H175+H177</f>
        <v>2400181.02</v>
      </c>
    </row>
    <row r="173" spans="1:33" ht="30.75" x14ac:dyDescent="0.25">
      <c r="A173" s="22" t="s">
        <v>159</v>
      </c>
      <c r="B173" s="23" t="s">
        <v>34</v>
      </c>
      <c r="C173" s="23" t="s">
        <v>63</v>
      </c>
      <c r="D173" s="101" t="s">
        <v>160</v>
      </c>
      <c r="E173" s="102"/>
      <c r="F173" s="261">
        <f>F174</f>
        <v>829923</v>
      </c>
      <c r="G173" s="261">
        <f>G174</f>
        <v>865463</v>
      </c>
      <c r="H173" s="261">
        <f>H174</f>
        <v>900914</v>
      </c>
    </row>
    <row r="174" spans="1:33" ht="30.75" x14ac:dyDescent="0.25">
      <c r="A174" s="22" t="s">
        <v>26</v>
      </c>
      <c r="B174" s="23" t="s">
        <v>34</v>
      </c>
      <c r="C174" s="23" t="s">
        <v>63</v>
      </c>
      <c r="D174" s="101" t="s">
        <v>160</v>
      </c>
      <c r="E174" s="102" t="s">
        <v>27</v>
      </c>
      <c r="F174" s="261">
        <v>829923</v>
      </c>
      <c r="G174" s="261">
        <v>865463</v>
      </c>
      <c r="H174" s="261">
        <v>900914</v>
      </c>
    </row>
    <row r="175" spans="1:33" ht="30.75" x14ac:dyDescent="0.25">
      <c r="A175" s="32" t="s">
        <v>157</v>
      </c>
      <c r="B175" s="23" t="s">
        <v>34</v>
      </c>
      <c r="C175" s="23" t="s">
        <v>63</v>
      </c>
      <c r="D175" s="23" t="s">
        <v>158</v>
      </c>
      <c r="E175" s="102"/>
      <c r="F175" s="261">
        <f>F176</f>
        <v>135600</v>
      </c>
      <c r="G175" s="261">
        <f>G176</f>
        <v>143058</v>
      </c>
      <c r="H175" s="261">
        <f>H176</f>
        <v>150497.01999999999</v>
      </c>
    </row>
    <row r="176" spans="1:33" ht="30.75" x14ac:dyDescent="0.25">
      <c r="A176" s="22" t="s">
        <v>26</v>
      </c>
      <c r="B176" s="23" t="s">
        <v>34</v>
      </c>
      <c r="C176" s="23" t="s">
        <v>63</v>
      </c>
      <c r="D176" s="101" t="s">
        <v>158</v>
      </c>
      <c r="E176" s="102" t="s">
        <v>27</v>
      </c>
      <c r="F176" s="261">
        <v>135600</v>
      </c>
      <c r="G176" s="261">
        <v>143058</v>
      </c>
      <c r="H176" s="261">
        <v>150497.01999999999</v>
      </c>
    </row>
    <row r="177" spans="1:33" ht="30.75" x14ac:dyDescent="0.25">
      <c r="A177" s="32" t="s">
        <v>165</v>
      </c>
      <c r="B177" s="23" t="s">
        <v>34</v>
      </c>
      <c r="C177" s="23" t="s">
        <v>63</v>
      </c>
      <c r="D177" s="31">
        <v>9910022001</v>
      </c>
      <c r="E177" s="102"/>
      <c r="F177" s="261">
        <f>F178</f>
        <v>1294448</v>
      </c>
      <c r="G177" s="261">
        <f>G178</f>
        <v>1321643</v>
      </c>
      <c r="H177" s="261">
        <f>H178</f>
        <v>1348770</v>
      </c>
    </row>
    <row r="178" spans="1:33" ht="30.75" x14ac:dyDescent="0.25">
      <c r="A178" s="22" t="s">
        <v>26</v>
      </c>
      <c r="B178" s="23" t="s">
        <v>34</v>
      </c>
      <c r="C178" s="23" t="s">
        <v>63</v>
      </c>
      <c r="D178" s="101">
        <v>9910022001</v>
      </c>
      <c r="E178" s="102" t="s">
        <v>27</v>
      </c>
      <c r="F178" s="261">
        <v>1294448</v>
      </c>
      <c r="G178" s="261">
        <v>1321643</v>
      </c>
      <c r="H178" s="261">
        <v>1348770</v>
      </c>
    </row>
    <row r="179" spans="1:33" x14ac:dyDescent="0.25">
      <c r="A179" s="34" t="s">
        <v>104</v>
      </c>
      <c r="B179" s="19" t="s">
        <v>34</v>
      </c>
      <c r="C179" s="19" t="s">
        <v>74</v>
      </c>
      <c r="D179" s="39"/>
      <c r="E179" s="30"/>
      <c r="F179" s="263">
        <f t="shared" ref="F179:H182" si="20">F180</f>
        <v>2994131.29</v>
      </c>
      <c r="G179" s="263">
        <f t="shared" si="20"/>
        <v>0</v>
      </c>
      <c r="H179" s="263">
        <f t="shared" si="20"/>
        <v>0</v>
      </c>
    </row>
    <row r="180" spans="1:33" x14ac:dyDescent="0.25">
      <c r="A180" s="18" t="s">
        <v>18</v>
      </c>
      <c r="B180" s="19" t="s">
        <v>34</v>
      </c>
      <c r="C180" s="19" t="s">
        <v>74</v>
      </c>
      <c r="D180" s="39" t="s">
        <v>19</v>
      </c>
      <c r="E180" s="30"/>
      <c r="F180" s="263">
        <f t="shared" si="20"/>
        <v>2994131.29</v>
      </c>
      <c r="G180" s="263">
        <f t="shared" si="20"/>
        <v>0</v>
      </c>
      <c r="H180" s="263">
        <f t="shared" si="20"/>
        <v>0</v>
      </c>
    </row>
    <row r="181" spans="1:33" x14ac:dyDescent="0.25">
      <c r="A181" s="22" t="s">
        <v>56</v>
      </c>
      <c r="B181" s="23" t="s">
        <v>34</v>
      </c>
      <c r="C181" s="23" t="s">
        <v>74</v>
      </c>
      <c r="D181" s="40" t="s">
        <v>38</v>
      </c>
      <c r="E181" s="31"/>
      <c r="F181" s="261">
        <f t="shared" si="20"/>
        <v>2994131.29</v>
      </c>
      <c r="G181" s="261">
        <f t="shared" si="20"/>
        <v>0</v>
      </c>
      <c r="H181" s="261">
        <f t="shared" si="20"/>
        <v>0</v>
      </c>
    </row>
    <row r="182" spans="1:33" ht="30.75" x14ac:dyDescent="0.25">
      <c r="A182" s="22" t="s">
        <v>166</v>
      </c>
      <c r="B182" s="23" t="s">
        <v>34</v>
      </c>
      <c r="C182" s="23" t="s">
        <v>74</v>
      </c>
      <c r="D182" s="40" t="s">
        <v>167</v>
      </c>
      <c r="E182" s="31"/>
      <c r="F182" s="261">
        <f t="shared" si="20"/>
        <v>2994131.29</v>
      </c>
      <c r="G182" s="261">
        <f t="shared" si="20"/>
        <v>0</v>
      </c>
      <c r="H182" s="261">
        <f t="shared" si="20"/>
        <v>0</v>
      </c>
    </row>
    <row r="183" spans="1:33" ht="45.75" x14ac:dyDescent="0.25">
      <c r="A183" s="32" t="s">
        <v>54</v>
      </c>
      <c r="B183" s="23" t="s">
        <v>34</v>
      </c>
      <c r="C183" s="23" t="s">
        <v>74</v>
      </c>
      <c r="D183" s="40" t="s">
        <v>167</v>
      </c>
      <c r="E183" s="31">
        <v>600</v>
      </c>
      <c r="F183" s="261">
        <v>2994131.29</v>
      </c>
      <c r="G183" s="261">
        <v>0</v>
      </c>
      <c r="H183" s="261">
        <v>0</v>
      </c>
    </row>
    <row r="184" spans="1:33" x14ac:dyDescent="0.25">
      <c r="A184" s="34" t="s">
        <v>180</v>
      </c>
      <c r="B184" s="19" t="s">
        <v>69</v>
      </c>
      <c r="C184" s="19"/>
      <c r="D184" s="40"/>
      <c r="E184" s="31"/>
      <c r="F184" s="263">
        <f t="shared" ref="F184:H188" si="21">F185</f>
        <v>160000</v>
      </c>
      <c r="G184" s="263">
        <f t="shared" si="21"/>
        <v>0</v>
      </c>
      <c r="H184" s="263">
        <f t="shared" si="21"/>
        <v>0</v>
      </c>
    </row>
    <row r="185" spans="1:33" ht="31.5" x14ac:dyDescent="0.25">
      <c r="A185" s="34" t="s">
        <v>113</v>
      </c>
      <c r="B185" s="19" t="s">
        <v>69</v>
      </c>
      <c r="C185" s="19" t="s">
        <v>30</v>
      </c>
      <c r="D185" s="40"/>
      <c r="E185" s="31"/>
      <c r="F185" s="263">
        <f t="shared" si="21"/>
        <v>160000</v>
      </c>
      <c r="G185" s="263">
        <f t="shared" si="21"/>
        <v>0</v>
      </c>
      <c r="H185" s="263">
        <f t="shared" si="21"/>
        <v>0</v>
      </c>
    </row>
    <row r="186" spans="1:33" x14ac:dyDescent="0.25">
      <c r="A186" s="18" t="s">
        <v>18</v>
      </c>
      <c r="B186" s="19" t="s">
        <v>69</v>
      </c>
      <c r="C186" s="19" t="s">
        <v>30</v>
      </c>
      <c r="D186" s="39" t="s">
        <v>19</v>
      </c>
      <c r="E186" s="30"/>
      <c r="F186" s="263">
        <f t="shared" si="21"/>
        <v>160000</v>
      </c>
      <c r="G186" s="263">
        <f t="shared" si="21"/>
        <v>0</v>
      </c>
      <c r="H186" s="263">
        <f t="shared" si="21"/>
        <v>0</v>
      </c>
    </row>
    <row r="187" spans="1:33" x14ac:dyDescent="0.25">
      <c r="A187" s="22" t="s">
        <v>56</v>
      </c>
      <c r="B187" s="23" t="s">
        <v>69</v>
      </c>
      <c r="C187" s="23" t="s">
        <v>30</v>
      </c>
      <c r="D187" s="40" t="s">
        <v>38</v>
      </c>
      <c r="E187" s="31"/>
      <c r="F187" s="261">
        <f t="shared" si="21"/>
        <v>160000</v>
      </c>
      <c r="G187" s="261">
        <f t="shared" si="21"/>
        <v>0</v>
      </c>
      <c r="H187" s="261">
        <f t="shared" si="21"/>
        <v>0</v>
      </c>
    </row>
    <row r="188" spans="1:33" ht="30.75" x14ac:dyDescent="0.25">
      <c r="A188" s="22" t="s">
        <v>181</v>
      </c>
      <c r="B188" s="23" t="s">
        <v>69</v>
      </c>
      <c r="C188" s="23" t="s">
        <v>30</v>
      </c>
      <c r="D188" s="40" t="s">
        <v>182</v>
      </c>
      <c r="E188" s="31"/>
      <c r="F188" s="261">
        <f t="shared" si="21"/>
        <v>160000</v>
      </c>
      <c r="G188" s="261">
        <f t="shared" si="21"/>
        <v>0</v>
      </c>
      <c r="H188" s="261">
        <f t="shared" si="21"/>
        <v>0</v>
      </c>
    </row>
    <row r="189" spans="1:33" ht="30.75" x14ac:dyDescent="0.25">
      <c r="A189" s="22" t="s">
        <v>26</v>
      </c>
      <c r="B189" s="23" t="s">
        <v>69</v>
      </c>
      <c r="C189" s="23" t="s">
        <v>30</v>
      </c>
      <c r="D189" s="40" t="s">
        <v>182</v>
      </c>
      <c r="E189" s="31">
        <v>200</v>
      </c>
      <c r="F189" s="261">
        <v>160000</v>
      </c>
      <c r="G189" s="261">
        <v>0</v>
      </c>
      <c r="H189" s="261">
        <v>0</v>
      </c>
    </row>
    <row r="190" spans="1:33" s="82" customFormat="1" x14ac:dyDescent="0.25">
      <c r="A190" s="18" t="s">
        <v>118</v>
      </c>
      <c r="B190" s="19" t="s">
        <v>59</v>
      </c>
      <c r="C190" s="19"/>
      <c r="D190" s="19"/>
      <c r="E190" s="19"/>
      <c r="F190" s="20">
        <f>F191+F196+F203+F210</f>
        <v>29328262.91</v>
      </c>
      <c r="G190" s="20">
        <f>G191+G196+G203+G210</f>
        <v>24399703.620000001</v>
      </c>
      <c r="H190" s="20">
        <f>H191+H196+H203+H210</f>
        <v>24495913.620000001</v>
      </c>
      <c r="I190" s="72"/>
      <c r="J190" s="69"/>
      <c r="K190" s="69"/>
      <c r="L190" s="69"/>
      <c r="M190" s="80"/>
      <c r="N190" s="80"/>
      <c r="O190" s="80"/>
      <c r="P190" s="80"/>
      <c r="Q190" s="80"/>
      <c r="R190" s="80"/>
      <c r="S190" s="80"/>
      <c r="T190" s="80"/>
      <c r="U190" s="80"/>
      <c r="V190" s="71"/>
      <c r="W190" s="71"/>
      <c r="X190" s="71"/>
      <c r="Y190" s="71"/>
      <c r="Z190" s="81"/>
      <c r="AA190" s="81"/>
      <c r="AB190" s="81"/>
      <c r="AC190" s="81"/>
      <c r="AD190" s="81"/>
      <c r="AE190" s="81"/>
      <c r="AF190" s="81"/>
      <c r="AG190" s="81"/>
    </row>
    <row r="191" spans="1:33" s="82" customFormat="1" x14ac:dyDescent="0.25">
      <c r="A191" s="18" t="s">
        <v>119</v>
      </c>
      <c r="B191" s="19" t="s">
        <v>59</v>
      </c>
      <c r="C191" s="19" t="s">
        <v>15</v>
      </c>
      <c r="D191" s="19"/>
      <c r="E191" s="19"/>
      <c r="F191" s="259">
        <f t="shared" ref="F191:H194" si="22">F192</f>
        <v>4364315</v>
      </c>
      <c r="G191" s="259">
        <f t="shared" si="22"/>
        <v>4364315</v>
      </c>
      <c r="H191" s="259">
        <f t="shared" si="22"/>
        <v>4364315</v>
      </c>
      <c r="I191" s="72"/>
      <c r="J191" s="69"/>
      <c r="K191" s="69"/>
      <c r="L191" s="69"/>
      <c r="M191" s="80"/>
      <c r="N191" s="80"/>
      <c r="O191" s="80"/>
      <c r="P191" s="80"/>
      <c r="Q191" s="80"/>
      <c r="R191" s="80"/>
      <c r="S191" s="80"/>
      <c r="T191" s="80"/>
      <c r="U191" s="80"/>
      <c r="V191" s="71"/>
      <c r="W191" s="71"/>
      <c r="X191" s="71"/>
      <c r="Y191" s="71"/>
      <c r="Z191" s="81"/>
      <c r="AA191" s="81"/>
      <c r="AB191" s="81"/>
      <c r="AC191" s="81"/>
      <c r="AD191" s="81"/>
      <c r="AE191" s="81"/>
      <c r="AF191" s="81"/>
      <c r="AG191" s="81"/>
    </row>
    <row r="192" spans="1:33" s="82" customFormat="1" x14ac:dyDescent="0.25">
      <c r="A192" s="18" t="s">
        <v>18</v>
      </c>
      <c r="B192" s="19" t="s">
        <v>59</v>
      </c>
      <c r="C192" s="19" t="s">
        <v>15</v>
      </c>
      <c r="D192" s="19" t="s">
        <v>19</v>
      </c>
      <c r="E192" s="19"/>
      <c r="F192" s="259">
        <f t="shared" si="22"/>
        <v>4364315</v>
      </c>
      <c r="G192" s="259">
        <f t="shared" si="22"/>
        <v>4364315</v>
      </c>
      <c r="H192" s="259">
        <f t="shared" si="22"/>
        <v>4364315</v>
      </c>
      <c r="I192" s="72"/>
      <c r="J192" s="69"/>
      <c r="K192" s="69"/>
      <c r="L192" s="69"/>
      <c r="M192" s="80"/>
      <c r="N192" s="80"/>
      <c r="O192" s="80"/>
      <c r="P192" s="80"/>
      <c r="Q192" s="80"/>
      <c r="R192" s="80"/>
      <c r="S192" s="80"/>
      <c r="T192" s="80"/>
      <c r="U192" s="80"/>
      <c r="V192" s="71"/>
      <c r="W192" s="71"/>
      <c r="X192" s="71"/>
      <c r="Y192" s="71"/>
      <c r="Z192" s="81"/>
      <c r="AA192" s="81"/>
      <c r="AB192" s="81"/>
      <c r="AC192" s="81"/>
      <c r="AD192" s="81"/>
      <c r="AE192" s="81"/>
      <c r="AF192" s="81"/>
      <c r="AG192" s="81"/>
    </row>
    <row r="193" spans="1:8" x14ac:dyDescent="0.25">
      <c r="A193" s="22" t="s">
        <v>56</v>
      </c>
      <c r="B193" s="23" t="s">
        <v>59</v>
      </c>
      <c r="C193" s="23" t="s">
        <v>15</v>
      </c>
      <c r="D193" s="23" t="s">
        <v>38</v>
      </c>
      <c r="E193" s="23"/>
      <c r="F193" s="260">
        <f t="shared" si="22"/>
        <v>4364315</v>
      </c>
      <c r="G193" s="260">
        <f t="shared" si="22"/>
        <v>4364315</v>
      </c>
      <c r="H193" s="260">
        <f t="shared" si="22"/>
        <v>4364315</v>
      </c>
    </row>
    <row r="194" spans="1:8" ht="60.75" x14ac:dyDescent="0.25">
      <c r="A194" s="273" t="s">
        <v>183</v>
      </c>
      <c r="B194" s="23" t="s">
        <v>59</v>
      </c>
      <c r="C194" s="23" t="s">
        <v>15</v>
      </c>
      <c r="D194" s="23" t="s">
        <v>184</v>
      </c>
      <c r="E194" s="23"/>
      <c r="F194" s="260">
        <f t="shared" si="22"/>
        <v>4364315</v>
      </c>
      <c r="G194" s="260">
        <f t="shared" si="22"/>
        <v>4364315</v>
      </c>
      <c r="H194" s="260">
        <f t="shared" si="22"/>
        <v>4364315</v>
      </c>
    </row>
    <row r="195" spans="1:8" ht="30.75" x14ac:dyDescent="0.25">
      <c r="A195" s="22" t="s">
        <v>52</v>
      </c>
      <c r="B195" s="23" t="s">
        <v>59</v>
      </c>
      <c r="C195" s="23" t="s">
        <v>15</v>
      </c>
      <c r="D195" s="23" t="s">
        <v>184</v>
      </c>
      <c r="E195" s="23" t="s">
        <v>53</v>
      </c>
      <c r="F195" s="261">
        <v>4364315</v>
      </c>
      <c r="G195" s="261">
        <v>4364315</v>
      </c>
      <c r="H195" s="261">
        <v>4364315</v>
      </c>
    </row>
    <row r="196" spans="1:8" hidden="1" x14ac:dyDescent="0.25">
      <c r="A196" s="18" t="s">
        <v>123</v>
      </c>
      <c r="B196" s="19" t="s">
        <v>59</v>
      </c>
      <c r="C196" s="19" t="s">
        <v>25</v>
      </c>
      <c r="D196" s="19"/>
      <c r="E196" s="19"/>
      <c r="F196" s="20">
        <f t="shared" ref="F196:H199" si="23">F197</f>
        <v>0</v>
      </c>
      <c r="G196" s="20">
        <f t="shared" si="23"/>
        <v>0</v>
      </c>
      <c r="H196" s="20">
        <f t="shared" si="23"/>
        <v>0</v>
      </c>
    </row>
    <row r="197" spans="1:8" hidden="1" x14ac:dyDescent="0.25">
      <c r="A197" s="18" t="s">
        <v>18</v>
      </c>
      <c r="B197" s="19" t="s">
        <v>59</v>
      </c>
      <c r="C197" s="19" t="s">
        <v>25</v>
      </c>
      <c r="D197" s="19" t="s">
        <v>19</v>
      </c>
      <c r="E197" s="19"/>
      <c r="F197" s="20">
        <f t="shared" si="23"/>
        <v>0</v>
      </c>
      <c r="G197" s="20">
        <f t="shared" si="23"/>
        <v>0</v>
      </c>
      <c r="H197" s="20">
        <f t="shared" si="23"/>
        <v>0</v>
      </c>
    </row>
    <row r="198" spans="1:8" hidden="1" x14ac:dyDescent="0.25">
      <c r="A198" s="22" t="s">
        <v>56</v>
      </c>
      <c r="B198" s="23" t="s">
        <v>59</v>
      </c>
      <c r="C198" s="23" t="s">
        <v>25</v>
      </c>
      <c r="D198" s="23" t="s">
        <v>38</v>
      </c>
      <c r="E198" s="23"/>
      <c r="F198" s="24">
        <f>F199+F201</f>
        <v>0</v>
      </c>
      <c r="G198" s="24">
        <f>G199+G201</f>
        <v>0</v>
      </c>
      <c r="H198" s="24">
        <f>H199+H201</f>
        <v>0</v>
      </c>
    </row>
    <row r="199" spans="1:8" ht="30.75" hidden="1" x14ac:dyDescent="0.25">
      <c r="A199" s="22" t="s">
        <v>185</v>
      </c>
      <c r="B199" s="23" t="s">
        <v>59</v>
      </c>
      <c r="C199" s="23" t="s">
        <v>25</v>
      </c>
      <c r="D199" s="23" t="s">
        <v>186</v>
      </c>
      <c r="E199" s="23"/>
      <c r="F199" s="24">
        <f t="shared" si="23"/>
        <v>0</v>
      </c>
      <c r="G199" s="24">
        <f t="shared" si="23"/>
        <v>0</v>
      </c>
      <c r="H199" s="24">
        <f t="shared" si="23"/>
        <v>0</v>
      </c>
    </row>
    <row r="200" spans="1:8" ht="30.75" hidden="1" x14ac:dyDescent="0.25">
      <c r="A200" s="22" t="s">
        <v>124</v>
      </c>
      <c r="B200" s="23" t="s">
        <v>59</v>
      </c>
      <c r="C200" s="23" t="s">
        <v>25</v>
      </c>
      <c r="D200" s="23" t="s">
        <v>186</v>
      </c>
      <c r="E200" s="23" t="s">
        <v>49</v>
      </c>
      <c r="F200" s="28">
        <v>0</v>
      </c>
      <c r="G200" s="28">
        <v>0</v>
      </c>
      <c r="H200" s="28">
        <v>0</v>
      </c>
    </row>
    <row r="201" spans="1:8" ht="30.75" hidden="1" x14ac:dyDescent="0.25">
      <c r="A201" s="22" t="s">
        <v>166</v>
      </c>
      <c r="B201" s="23" t="s">
        <v>59</v>
      </c>
      <c r="C201" s="23" t="s">
        <v>25</v>
      </c>
      <c r="D201" s="40" t="s">
        <v>167</v>
      </c>
      <c r="E201" s="31"/>
      <c r="F201" s="28">
        <f>F202</f>
        <v>0</v>
      </c>
      <c r="G201" s="28">
        <f>G202</f>
        <v>0</v>
      </c>
      <c r="H201" s="28"/>
    </row>
    <row r="202" spans="1:8" ht="30.75" hidden="1" x14ac:dyDescent="0.25">
      <c r="A202" s="22" t="s">
        <v>26</v>
      </c>
      <c r="B202" s="23" t="s">
        <v>59</v>
      </c>
      <c r="C202" s="23" t="s">
        <v>25</v>
      </c>
      <c r="D202" s="40" t="s">
        <v>167</v>
      </c>
      <c r="E202" s="31">
        <v>200</v>
      </c>
      <c r="F202" s="28">
        <v>0</v>
      </c>
      <c r="G202" s="28">
        <v>0</v>
      </c>
      <c r="H202" s="28"/>
    </row>
    <row r="203" spans="1:8" x14ac:dyDescent="0.25">
      <c r="A203" s="18" t="s">
        <v>126</v>
      </c>
      <c r="B203" s="19" t="s">
        <v>59</v>
      </c>
      <c r="C203" s="19" t="s">
        <v>30</v>
      </c>
      <c r="D203" s="19"/>
      <c r="E203" s="19"/>
      <c r="F203" s="259">
        <f t="shared" ref="F203:H205" si="24">F204</f>
        <v>13500000</v>
      </c>
      <c r="G203" s="259">
        <f t="shared" si="24"/>
        <v>13500000</v>
      </c>
      <c r="H203" s="259">
        <f t="shared" si="24"/>
        <v>13500000</v>
      </c>
    </row>
    <row r="204" spans="1:8" x14ac:dyDescent="0.25">
      <c r="A204" s="18" t="s">
        <v>18</v>
      </c>
      <c r="B204" s="19" t="s">
        <v>59</v>
      </c>
      <c r="C204" s="19" t="s">
        <v>30</v>
      </c>
      <c r="D204" s="19" t="s">
        <v>19</v>
      </c>
      <c r="E204" s="19"/>
      <c r="F204" s="259">
        <f t="shared" si="24"/>
        <v>13500000</v>
      </c>
      <c r="G204" s="259">
        <f t="shared" si="24"/>
        <v>13500000</v>
      </c>
      <c r="H204" s="259">
        <f t="shared" si="24"/>
        <v>13500000</v>
      </c>
    </row>
    <row r="205" spans="1:8" x14ac:dyDescent="0.25">
      <c r="A205" s="22" t="s">
        <v>56</v>
      </c>
      <c r="B205" s="23" t="s">
        <v>59</v>
      </c>
      <c r="C205" s="23" t="s">
        <v>30</v>
      </c>
      <c r="D205" s="23" t="s">
        <v>38</v>
      </c>
      <c r="E205" s="23"/>
      <c r="F205" s="260">
        <f t="shared" si="24"/>
        <v>13500000</v>
      </c>
      <c r="G205" s="260">
        <f t="shared" si="24"/>
        <v>13500000</v>
      </c>
      <c r="H205" s="260">
        <f t="shared" si="24"/>
        <v>13500000</v>
      </c>
    </row>
    <row r="206" spans="1:8" ht="30.75" x14ac:dyDescent="0.25">
      <c r="A206" s="22" t="s">
        <v>185</v>
      </c>
      <c r="B206" s="23" t="s">
        <v>59</v>
      </c>
      <c r="C206" s="23" t="s">
        <v>30</v>
      </c>
      <c r="D206" s="23" t="s">
        <v>186</v>
      </c>
      <c r="E206" s="23"/>
      <c r="F206" s="260">
        <f>SUM(F207:F209)</f>
        <v>13500000</v>
      </c>
      <c r="G206" s="260">
        <f>SUM(G207:G209)</f>
        <v>13500000</v>
      </c>
      <c r="H206" s="260">
        <f>SUM(H207:H209)</f>
        <v>13500000</v>
      </c>
    </row>
    <row r="207" spans="1:8" ht="30.75" x14ac:dyDescent="0.25">
      <c r="A207" s="22" t="s">
        <v>26</v>
      </c>
      <c r="B207" s="23" t="s">
        <v>59</v>
      </c>
      <c r="C207" s="23" t="s">
        <v>30</v>
      </c>
      <c r="D207" s="23" t="s">
        <v>186</v>
      </c>
      <c r="E207" s="23" t="s">
        <v>27</v>
      </c>
      <c r="F207" s="311">
        <v>197734</v>
      </c>
      <c r="G207" s="311">
        <v>197734</v>
      </c>
      <c r="H207" s="312">
        <v>197734</v>
      </c>
    </row>
    <row r="208" spans="1:8" ht="30.75" x14ac:dyDescent="0.25">
      <c r="A208" s="22" t="s">
        <v>52</v>
      </c>
      <c r="B208" s="23" t="s">
        <v>59</v>
      </c>
      <c r="C208" s="23" t="s">
        <v>30</v>
      </c>
      <c r="D208" s="23" t="s">
        <v>186</v>
      </c>
      <c r="E208" s="23" t="s">
        <v>53</v>
      </c>
      <c r="F208" s="311">
        <v>13302266</v>
      </c>
      <c r="G208" s="311">
        <v>13302266</v>
      </c>
      <c r="H208" s="312">
        <v>13302266</v>
      </c>
    </row>
    <row r="209" spans="1:33" ht="30.75" hidden="1" x14ac:dyDescent="0.25">
      <c r="A209" s="22" t="s">
        <v>124</v>
      </c>
      <c r="B209" s="23" t="s">
        <v>59</v>
      </c>
      <c r="C209" s="23" t="s">
        <v>30</v>
      </c>
      <c r="D209" s="23" t="s">
        <v>186</v>
      </c>
      <c r="E209" s="23" t="s">
        <v>49</v>
      </c>
      <c r="F209" s="281">
        <v>0</v>
      </c>
      <c r="G209" s="281">
        <v>0</v>
      </c>
      <c r="H209" s="28"/>
    </row>
    <row r="210" spans="1:33" s="82" customFormat="1" ht="31.5" x14ac:dyDescent="0.25">
      <c r="A210" s="18" t="s">
        <v>128</v>
      </c>
      <c r="B210" s="19" t="s">
        <v>59</v>
      </c>
      <c r="C210" s="19" t="s">
        <v>32</v>
      </c>
      <c r="D210" s="19"/>
      <c r="E210" s="19"/>
      <c r="F210" s="20">
        <f>F211</f>
        <v>11463947.91</v>
      </c>
      <c r="G210" s="20">
        <f>G211</f>
        <v>6535388.6200000001</v>
      </c>
      <c r="H210" s="20">
        <f>H211</f>
        <v>6631598.6200000001</v>
      </c>
      <c r="I210" s="72"/>
      <c r="J210" s="69"/>
      <c r="K210" s="69"/>
      <c r="L210" s="69"/>
      <c r="M210" s="80"/>
      <c r="N210" s="80"/>
      <c r="O210" s="80"/>
      <c r="P210" s="80"/>
      <c r="Q210" s="80"/>
      <c r="R210" s="80"/>
      <c r="S210" s="80"/>
      <c r="T210" s="80"/>
      <c r="U210" s="80"/>
      <c r="V210" s="71"/>
      <c r="W210" s="71"/>
      <c r="X210" s="71"/>
      <c r="Y210" s="71"/>
      <c r="Z210" s="81"/>
      <c r="AA210" s="81"/>
      <c r="AB210" s="81"/>
      <c r="AC210" s="81"/>
      <c r="AD210" s="81"/>
      <c r="AE210" s="81"/>
      <c r="AF210" s="81"/>
      <c r="AG210" s="81"/>
    </row>
    <row r="211" spans="1:33" s="82" customFormat="1" x14ac:dyDescent="0.25">
      <c r="A211" s="18" t="s">
        <v>18</v>
      </c>
      <c r="B211" s="19" t="s">
        <v>59</v>
      </c>
      <c r="C211" s="19" t="s">
        <v>32</v>
      </c>
      <c r="D211" s="19" t="s">
        <v>19</v>
      </c>
      <c r="E211" s="19"/>
      <c r="F211" s="20">
        <f>F212+F215</f>
        <v>11463947.91</v>
      </c>
      <c r="G211" s="20">
        <f>G212+G215</f>
        <v>6535388.6200000001</v>
      </c>
      <c r="H211" s="20">
        <f>H212+H215</f>
        <v>6631598.6200000001</v>
      </c>
      <c r="I211" s="72"/>
      <c r="J211" s="69"/>
      <c r="K211" s="69"/>
      <c r="L211" s="69"/>
      <c r="M211" s="80"/>
      <c r="N211" s="80"/>
      <c r="O211" s="80"/>
      <c r="P211" s="80"/>
      <c r="Q211" s="80"/>
      <c r="R211" s="80"/>
      <c r="S211" s="80"/>
      <c r="T211" s="80"/>
      <c r="U211" s="80"/>
      <c r="V211" s="71"/>
      <c r="W211" s="71"/>
      <c r="X211" s="71"/>
      <c r="Y211" s="71"/>
      <c r="Z211" s="81"/>
      <c r="AA211" s="81"/>
      <c r="AB211" s="81"/>
      <c r="AC211" s="81"/>
      <c r="AD211" s="81"/>
      <c r="AE211" s="81"/>
      <c r="AF211" s="81"/>
      <c r="AG211" s="81"/>
    </row>
    <row r="212" spans="1:33" s="82" customFormat="1" ht="30.75" x14ac:dyDescent="0.25">
      <c r="A212" s="22" t="s">
        <v>20</v>
      </c>
      <c r="B212" s="23" t="s">
        <v>59</v>
      </c>
      <c r="C212" s="23" t="s">
        <v>32</v>
      </c>
      <c r="D212" s="23" t="s">
        <v>21</v>
      </c>
      <c r="E212" s="23"/>
      <c r="F212" s="260">
        <f t="shared" ref="F212:H213" si="25">F213</f>
        <v>4611188.62</v>
      </c>
      <c r="G212" s="260">
        <f t="shared" si="25"/>
        <v>4611188.62</v>
      </c>
      <c r="H212" s="260">
        <f t="shared" si="25"/>
        <v>4611188.62</v>
      </c>
      <c r="I212" s="72"/>
      <c r="J212" s="69"/>
      <c r="K212" s="69"/>
      <c r="L212" s="69"/>
      <c r="M212" s="80"/>
      <c r="N212" s="80"/>
      <c r="O212" s="80"/>
      <c r="P212" s="80"/>
      <c r="Q212" s="80"/>
      <c r="R212" s="80"/>
      <c r="S212" s="80"/>
      <c r="T212" s="80"/>
      <c r="U212" s="80"/>
      <c r="V212" s="71"/>
      <c r="W212" s="71"/>
      <c r="X212" s="71"/>
      <c r="Y212" s="71"/>
      <c r="Z212" s="81"/>
      <c r="AA212" s="81"/>
      <c r="AB212" s="81"/>
      <c r="AC212" s="81"/>
      <c r="AD212" s="81"/>
      <c r="AE212" s="81"/>
      <c r="AF212" s="81"/>
      <c r="AG212" s="81"/>
    </row>
    <row r="213" spans="1:33" s="82" customFormat="1" ht="30.75" x14ac:dyDescent="0.25">
      <c r="A213" s="22" t="s">
        <v>159</v>
      </c>
      <c r="B213" s="23" t="s">
        <v>59</v>
      </c>
      <c r="C213" s="23" t="s">
        <v>32</v>
      </c>
      <c r="D213" s="23" t="s">
        <v>160</v>
      </c>
      <c r="E213" s="23"/>
      <c r="F213" s="260">
        <f t="shared" si="25"/>
        <v>4611188.62</v>
      </c>
      <c r="G213" s="260">
        <f t="shared" si="25"/>
        <v>4611188.62</v>
      </c>
      <c r="H213" s="260">
        <f t="shared" si="25"/>
        <v>4611188.62</v>
      </c>
      <c r="I213" s="72"/>
      <c r="J213" s="69"/>
      <c r="K213" s="69"/>
      <c r="L213" s="69"/>
      <c r="M213" s="80"/>
      <c r="N213" s="80"/>
      <c r="O213" s="80"/>
      <c r="P213" s="80"/>
      <c r="Q213" s="80"/>
      <c r="R213" s="80"/>
      <c r="S213" s="80"/>
      <c r="T213" s="80"/>
      <c r="U213" s="80"/>
      <c r="V213" s="71"/>
      <c r="W213" s="71"/>
      <c r="X213" s="71"/>
      <c r="Y213" s="71"/>
      <c r="Z213" s="81"/>
      <c r="AA213" s="81"/>
      <c r="AB213" s="81"/>
      <c r="AC213" s="81"/>
      <c r="AD213" s="81"/>
      <c r="AE213" s="81"/>
      <c r="AF213" s="81"/>
      <c r="AG213" s="81"/>
    </row>
    <row r="214" spans="1:33" s="82" customFormat="1" ht="75.75" x14ac:dyDescent="0.25">
      <c r="A214" s="22" t="s">
        <v>22</v>
      </c>
      <c r="B214" s="23" t="s">
        <v>59</v>
      </c>
      <c r="C214" s="23" t="s">
        <v>32</v>
      </c>
      <c r="D214" s="23" t="s">
        <v>160</v>
      </c>
      <c r="E214" s="23" t="s">
        <v>23</v>
      </c>
      <c r="F214" s="260">
        <v>4611188.62</v>
      </c>
      <c r="G214" s="260">
        <v>4611188.62</v>
      </c>
      <c r="H214" s="261">
        <v>4611188.62</v>
      </c>
      <c r="I214" s="72"/>
      <c r="J214" s="69"/>
      <c r="K214" s="69"/>
      <c r="L214" s="69"/>
      <c r="M214" s="80"/>
      <c r="N214" s="80"/>
      <c r="O214" s="80"/>
      <c r="P214" s="80"/>
      <c r="Q214" s="80"/>
      <c r="R214" s="80"/>
      <c r="S214" s="80"/>
      <c r="T214" s="80"/>
      <c r="U214" s="80"/>
      <c r="V214" s="71"/>
      <c r="W214" s="71"/>
      <c r="X214" s="71"/>
      <c r="Y214" s="71"/>
      <c r="Z214" s="81"/>
      <c r="AA214" s="81"/>
      <c r="AB214" s="81"/>
      <c r="AC214" s="81"/>
      <c r="AD214" s="81"/>
      <c r="AE214" s="81"/>
      <c r="AF214" s="81"/>
      <c r="AG214" s="81"/>
    </row>
    <row r="215" spans="1:33" x14ac:dyDescent="0.25">
      <c r="A215" s="22" t="s">
        <v>56</v>
      </c>
      <c r="B215" s="23" t="s">
        <v>59</v>
      </c>
      <c r="C215" s="23" t="s">
        <v>32</v>
      </c>
      <c r="D215" s="23" t="s">
        <v>38</v>
      </c>
      <c r="E215" s="23"/>
      <c r="F215" s="24">
        <f>F220+F218+F216</f>
        <v>6852759.29</v>
      </c>
      <c r="G215" s="24">
        <f t="shared" ref="G215:H215" si="26">G220+G218+G216</f>
        <v>1924200</v>
      </c>
      <c r="H215" s="24">
        <f t="shared" si="26"/>
        <v>2020410</v>
      </c>
    </row>
    <row r="216" spans="1:33" ht="30.75" x14ac:dyDescent="0.25">
      <c r="A216" s="22" t="s">
        <v>680</v>
      </c>
      <c r="B216" s="23" t="s">
        <v>59</v>
      </c>
      <c r="C216" s="23" t="s">
        <v>32</v>
      </c>
      <c r="D216" s="23" t="s">
        <v>679</v>
      </c>
      <c r="E216" s="23"/>
      <c r="F216" s="260">
        <f>F217</f>
        <v>3875239.29</v>
      </c>
      <c r="G216" s="260">
        <f t="shared" ref="G216:H216" si="27">G217</f>
        <v>0</v>
      </c>
      <c r="H216" s="260">
        <f t="shared" si="27"/>
        <v>0</v>
      </c>
    </row>
    <row r="217" spans="1:33" ht="30.75" x14ac:dyDescent="0.25">
      <c r="A217" s="22" t="s">
        <v>52</v>
      </c>
      <c r="B217" s="23" t="s">
        <v>59</v>
      </c>
      <c r="C217" s="23" t="s">
        <v>32</v>
      </c>
      <c r="D217" s="23" t="s">
        <v>679</v>
      </c>
      <c r="E217" s="23" t="s">
        <v>53</v>
      </c>
      <c r="F217" s="260">
        <v>3875239.29</v>
      </c>
      <c r="G217" s="260">
        <v>0</v>
      </c>
      <c r="H217" s="260">
        <v>0</v>
      </c>
    </row>
    <row r="218" spans="1:33" ht="30.75" x14ac:dyDescent="0.25">
      <c r="A218" s="22" t="s">
        <v>185</v>
      </c>
      <c r="B218" s="23" t="s">
        <v>59</v>
      </c>
      <c r="C218" s="23" t="s">
        <v>32</v>
      </c>
      <c r="D218" s="23" t="s">
        <v>186</v>
      </c>
      <c r="E218" s="23"/>
      <c r="F218" s="260">
        <f>F219</f>
        <v>1149530</v>
      </c>
      <c r="G218" s="260">
        <f>G219</f>
        <v>0</v>
      </c>
      <c r="H218" s="260">
        <f>H219</f>
        <v>0</v>
      </c>
    </row>
    <row r="219" spans="1:33" ht="30.75" x14ac:dyDescent="0.25">
      <c r="A219" s="22" t="s">
        <v>52</v>
      </c>
      <c r="B219" s="23" t="s">
        <v>59</v>
      </c>
      <c r="C219" s="23" t="s">
        <v>32</v>
      </c>
      <c r="D219" s="23" t="s">
        <v>186</v>
      </c>
      <c r="E219" s="23" t="s">
        <v>53</v>
      </c>
      <c r="F219" s="260">
        <v>1149530</v>
      </c>
      <c r="G219" s="260">
        <v>0</v>
      </c>
      <c r="H219" s="261">
        <v>0</v>
      </c>
    </row>
    <row r="220" spans="1:33" ht="30.75" x14ac:dyDescent="0.25">
      <c r="A220" s="22" t="s">
        <v>187</v>
      </c>
      <c r="B220" s="23" t="s">
        <v>59</v>
      </c>
      <c r="C220" s="23" t="s">
        <v>32</v>
      </c>
      <c r="D220" s="23" t="s">
        <v>188</v>
      </c>
      <c r="E220" s="23"/>
      <c r="F220" s="260">
        <f>F221+F222</f>
        <v>1827990</v>
      </c>
      <c r="G220" s="260">
        <f>G221+G222</f>
        <v>1924200</v>
      </c>
      <c r="H220" s="260">
        <f>H221+H222</f>
        <v>2020410</v>
      </c>
    </row>
    <row r="221" spans="1:33" ht="30.75" hidden="1" x14ac:dyDescent="0.25">
      <c r="A221" s="22" t="s">
        <v>26</v>
      </c>
      <c r="B221" s="23" t="s">
        <v>59</v>
      </c>
      <c r="C221" s="23" t="s">
        <v>32</v>
      </c>
      <c r="D221" s="23" t="s">
        <v>186</v>
      </c>
      <c r="E221" s="23" t="s">
        <v>27</v>
      </c>
      <c r="F221" s="261"/>
      <c r="G221" s="261"/>
      <c r="H221" s="261"/>
      <c r="M221" s="89"/>
      <c r="N221" s="89"/>
      <c r="O221" s="89"/>
      <c r="Q221" s="89"/>
      <c r="R221" s="89"/>
      <c r="T221" s="89"/>
      <c r="W221" s="89"/>
      <c r="AA221" s="90"/>
    </row>
    <row r="222" spans="1:33" ht="30.75" x14ac:dyDescent="0.25">
      <c r="A222" s="22" t="s">
        <v>52</v>
      </c>
      <c r="B222" s="23" t="s">
        <v>59</v>
      </c>
      <c r="C222" s="23" t="s">
        <v>32</v>
      </c>
      <c r="D222" s="23" t="s">
        <v>188</v>
      </c>
      <c r="E222" s="23" t="s">
        <v>53</v>
      </c>
      <c r="F222" s="261">
        <v>1827990</v>
      </c>
      <c r="G222" s="261">
        <v>1924200</v>
      </c>
      <c r="H222" s="261">
        <v>2020410</v>
      </c>
      <c r="M222" s="89"/>
      <c r="N222" s="89"/>
      <c r="O222" s="89"/>
      <c r="Q222" s="89"/>
      <c r="R222" s="89"/>
      <c r="T222" s="89"/>
      <c r="W222" s="89"/>
      <c r="AA222" s="90"/>
    </row>
    <row r="223" spans="1:33" x14ac:dyDescent="0.25">
      <c r="A223" s="18" t="s">
        <v>132</v>
      </c>
      <c r="B223" s="19" t="s">
        <v>36</v>
      </c>
      <c r="C223" s="19"/>
      <c r="D223" s="19"/>
      <c r="E223" s="91"/>
      <c r="F223" s="263">
        <f t="shared" ref="F223:H225" si="28">F224</f>
        <v>16934814.869999997</v>
      </c>
      <c r="G223" s="263">
        <f t="shared" si="28"/>
        <v>0</v>
      </c>
      <c r="H223" s="263">
        <f t="shared" si="28"/>
        <v>0</v>
      </c>
    </row>
    <row r="224" spans="1:33" x14ac:dyDescent="0.25">
      <c r="A224" s="18" t="s">
        <v>133</v>
      </c>
      <c r="B224" s="19" t="s">
        <v>36</v>
      </c>
      <c r="C224" s="19" t="s">
        <v>15</v>
      </c>
      <c r="D224" s="19"/>
      <c r="E224" s="91"/>
      <c r="F224" s="263">
        <f t="shared" si="28"/>
        <v>16934814.869999997</v>
      </c>
      <c r="G224" s="263">
        <f t="shared" si="28"/>
        <v>0</v>
      </c>
      <c r="H224" s="263">
        <f t="shared" si="28"/>
        <v>0</v>
      </c>
    </row>
    <row r="225" spans="1:10" x14ac:dyDescent="0.25">
      <c r="A225" s="18" t="s">
        <v>18</v>
      </c>
      <c r="B225" s="19" t="s">
        <v>36</v>
      </c>
      <c r="C225" s="19" t="s">
        <v>15</v>
      </c>
      <c r="D225" s="92" t="s">
        <v>19</v>
      </c>
      <c r="E225" s="91"/>
      <c r="F225" s="263">
        <f t="shared" si="28"/>
        <v>16934814.869999997</v>
      </c>
      <c r="G225" s="263">
        <f t="shared" si="28"/>
        <v>0</v>
      </c>
      <c r="H225" s="263">
        <f t="shared" si="28"/>
        <v>0</v>
      </c>
    </row>
    <row r="226" spans="1:10" x14ac:dyDescent="0.25">
      <c r="A226" s="22" t="s">
        <v>56</v>
      </c>
      <c r="B226" s="23" t="s">
        <v>36</v>
      </c>
      <c r="C226" s="23" t="s">
        <v>15</v>
      </c>
      <c r="D226" s="23" t="s">
        <v>38</v>
      </c>
      <c r="E226" s="93"/>
      <c r="F226" s="261">
        <f>F227+F231</f>
        <v>16934814.869999997</v>
      </c>
      <c r="G226" s="261">
        <f>G227+G231</f>
        <v>0</v>
      </c>
      <c r="H226" s="261">
        <f>H227+H231</f>
        <v>0</v>
      </c>
    </row>
    <row r="227" spans="1:10" x14ac:dyDescent="0.25">
      <c r="A227" s="22" t="s">
        <v>189</v>
      </c>
      <c r="B227" s="23" t="s">
        <v>36</v>
      </c>
      <c r="C227" s="23" t="s">
        <v>15</v>
      </c>
      <c r="D227" s="23" t="s">
        <v>190</v>
      </c>
      <c r="E227" s="93"/>
      <c r="F227" s="261">
        <f>F230+F228+F229</f>
        <v>16934814.869999997</v>
      </c>
      <c r="G227" s="261">
        <f>G230+G228+G229</f>
        <v>0</v>
      </c>
      <c r="H227" s="261">
        <f>H230+H228+H229</f>
        <v>0</v>
      </c>
    </row>
    <row r="228" spans="1:10" ht="30.75" x14ac:dyDescent="0.25">
      <c r="A228" s="22" t="s">
        <v>26</v>
      </c>
      <c r="B228" s="23" t="s">
        <v>36</v>
      </c>
      <c r="C228" s="23" t="s">
        <v>15</v>
      </c>
      <c r="D228" s="23" t="s">
        <v>190</v>
      </c>
      <c r="E228" s="93" t="s">
        <v>27</v>
      </c>
      <c r="F228" s="261">
        <f>4032120+12452895.93+65152.12</f>
        <v>16550168.049999999</v>
      </c>
      <c r="G228" s="261">
        <v>0</v>
      </c>
      <c r="H228" s="261">
        <v>0</v>
      </c>
    </row>
    <row r="229" spans="1:10" ht="30.75" hidden="1" x14ac:dyDescent="0.25">
      <c r="A229" s="22" t="s">
        <v>52</v>
      </c>
      <c r="B229" s="23" t="s">
        <v>36</v>
      </c>
      <c r="C229" s="23" t="s">
        <v>15</v>
      </c>
      <c r="D229" s="23" t="s">
        <v>190</v>
      </c>
      <c r="E229" s="93" t="s">
        <v>53</v>
      </c>
      <c r="F229" s="261">
        <v>0</v>
      </c>
      <c r="G229" s="261">
        <v>0</v>
      </c>
      <c r="H229" s="261"/>
    </row>
    <row r="230" spans="1:10" ht="30.75" x14ac:dyDescent="0.25">
      <c r="A230" s="22" t="s">
        <v>124</v>
      </c>
      <c r="B230" s="23" t="s">
        <v>36</v>
      </c>
      <c r="C230" s="23" t="s">
        <v>15</v>
      </c>
      <c r="D230" s="23" t="s">
        <v>190</v>
      </c>
      <c r="E230" s="93" t="s">
        <v>49</v>
      </c>
      <c r="F230" s="261">
        <v>384646.82</v>
      </c>
      <c r="G230" s="261">
        <v>0</v>
      </c>
      <c r="H230" s="261">
        <v>0</v>
      </c>
    </row>
    <row r="231" spans="1:10" ht="30.75" hidden="1" x14ac:dyDescent="0.25">
      <c r="A231" s="22" t="s">
        <v>166</v>
      </c>
      <c r="B231" s="23" t="s">
        <v>36</v>
      </c>
      <c r="C231" s="23" t="s">
        <v>15</v>
      </c>
      <c r="D231" s="23" t="s">
        <v>167</v>
      </c>
      <c r="E231" s="93"/>
      <c r="F231" s="28">
        <f>F232</f>
        <v>0</v>
      </c>
      <c r="G231" s="28">
        <f>G232</f>
        <v>0</v>
      </c>
      <c r="H231" s="28"/>
    </row>
    <row r="232" spans="1:10" ht="30.75" hidden="1" x14ac:dyDescent="0.25">
      <c r="A232" s="22" t="s">
        <v>26</v>
      </c>
      <c r="B232" s="23" t="s">
        <v>36</v>
      </c>
      <c r="C232" s="23" t="s">
        <v>15</v>
      </c>
      <c r="D232" s="23" t="s">
        <v>167</v>
      </c>
      <c r="E232" s="93" t="s">
        <v>27</v>
      </c>
      <c r="F232" s="28">
        <v>0</v>
      </c>
      <c r="G232" s="28"/>
      <c r="H232" s="28"/>
    </row>
    <row r="233" spans="1:10" ht="63" x14ac:dyDescent="0.25">
      <c r="A233" s="98" t="s">
        <v>138</v>
      </c>
      <c r="B233" s="92" t="s">
        <v>139</v>
      </c>
      <c r="C233" s="92"/>
      <c r="D233" s="92"/>
      <c r="E233" s="282"/>
      <c r="F233" s="325">
        <f t="shared" ref="F233:H237" si="29">F234</f>
        <v>882412694.23000002</v>
      </c>
      <c r="G233" s="325">
        <f t="shared" si="29"/>
        <v>128460096.52000001</v>
      </c>
      <c r="H233" s="325">
        <f t="shared" si="29"/>
        <v>0</v>
      </c>
    </row>
    <row r="234" spans="1:10" ht="31.5" x14ac:dyDescent="0.25">
      <c r="A234" s="51" t="s">
        <v>140</v>
      </c>
      <c r="B234" s="92" t="s">
        <v>139</v>
      </c>
      <c r="C234" s="92" t="s">
        <v>25</v>
      </c>
      <c r="D234" s="92"/>
      <c r="E234" s="92"/>
      <c r="F234" s="325">
        <f t="shared" si="29"/>
        <v>882412694.23000002</v>
      </c>
      <c r="G234" s="325">
        <f t="shared" si="29"/>
        <v>128460096.52000001</v>
      </c>
      <c r="H234" s="325">
        <f t="shared" si="29"/>
        <v>0</v>
      </c>
    </row>
    <row r="235" spans="1:10" x14ac:dyDescent="0.25">
      <c r="A235" s="18" t="s">
        <v>18</v>
      </c>
      <c r="B235" s="92" t="s">
        <v>139</v>
      </c>
      <c r="C235" s="92" t="s">
        <v>25</v>
      </c>
      <c r="D235" s="92" t="s">
        <v>19</v>
      </c>
      <c r="E235" s="92"/>
      <c r="F235" s="325">
        <f>F236</f>
        <v>882412694.23000002</v>
      </c>
      <c r="G235" s="325">
        <f>G236</f>
        <v>128460096.52000001</v>
      </c>
      <c r="H235" s="325">
        <f t="shared" si="29"/>
        <v>0</v>
      </c>
    </row>
    <row r="236" spans="1:10" x14ac:dyDescent="0.25">
      <c r="A236" s="22" t="s">
        <v>84</v>
      </c>
      <c r="B236" s="283" t="s">
        <v>139</v>
      </c>
      <c r="C236" s="283" t="s">
        <v>25</v>
      </c>
      <c r="D236" s="283" t="s">
        <v>141</v>
      </c>
      <c r="E236" s="283"/>
      <c r="F236" s="326">
        <f>F237+F239</f>
        <v>882412694.23000002</v>
      </c>
      <c r="G236" s="326">
        <f t="shared" ref="G236:H236" si="30">G237+G239</f>
        <v>128460096.52000001</v>
      </c>
      <c r="H236" s="326">
        <f t="shared" si="30"/>
        <v>0</v>
      </c>
    </row>
    <row r="237" spans="1:10" ht="30" x14ac:dyDescent="0.25">
      <c r="A237" s="284" t="s">
        <v>191</v>
      </c>
      <c r="B237" s="283" t="s">
        <v>139</v>
      </c>
      <c r="C237" s="283" t="s">
        <v>25</v>
      </c>
      <c r="D237" s="283" t="s">
        <v>192</v>
      </c>
      <c r="E237" s="283"/>
      <c r="F237" s="326">
        <f>F238</f>
        <v>436642000</v>
      </c>
      <c r="G237" s="326">
        <f t="shared" si="29"/>
        <v>0</v>
      </c>
      <c r="H237" s="326">
        <f t="shared" si="29"/>
        <v>0</v>
      </c>
    </row>
    <row r="238" spans="1:10" x14ac:dyDescent="0.25">
      <c r="A238" s="284" t="s">
        <v>84</v>
      </c>
      <c r="B238" s="283" t="s">
        <v>139</v>
      </c>
      <c r="C238" s="283" t="s">
        <v>25</v>
      </c>
      <c r="D238" s="283" t="s">
        <v>192</v>
      </c>
      <c r="E238" s="283" t="s">
        <v>142</v>
      </c>
      <c r="F238" s="261">
        <v>436642000</v>
      </c>
      <c r="G238" s="261">
        <v>0</v>
      </c>
      <c r="H238" s="261">
        <v>0</v>
      </c>
    </row>
    <row r="239" spans="1:10" ht="30.75" x14ac:dyDescent="0.25">
      <c r="A239" s="285" t="s">
        <v>193</v>
      </c>
      <c r="B239" s="283" t="s">
        <v>139</v>
      </c>
      <c r="C239" s="283" t="s">
        <v>25</v>
      </c>
      <c r="D239" s="228">
        <v>9960088520</v>
      </c>
      <c r="E239" s="228"/>
      <c r="F239" s="261">
        <f>F240</f>
        <v>445770694.22999996</v>
      </c>
      <c r="G239" s="261">
        <f>G240</f>
        <v>128460096.52000001</v>
      </c>
      <c r="H239" s="261">
        <f>H240</f>
        <v>0</v>
      </c>
    </row>
    <row r="240" spans="1:10" x14ac:dyDescent="0.25">
      <c r="A240" s="284" t="s">
        <v>84</v>
      </c>
      <c r="B240" s="283" t="s">
        <v>139</v>
      </c>
      <c r="C240" s="283" t="s">
        <v>25</v>
      </c>
      <c r="D240" s="228">
        <v>9960088520</v>
      </c>
      <c r="E240" s="228">
        <v>500</v>
      </c>
      <c r="F240" s="261">
        <f>11741386.74+328297269.87+8100000+404216.68+ 694243.75+115052.02+154000+2110000+1998000-255717.94+4616400+58747946.16+8687811.33+15850183.62+4509902</f>
        <v>445770694.22999996</v>
      </c>
      <c r="G240" s="261">
        <f>70000000+58460096.52</f>
        <v>128460096.52000001</v>
      </c>
      <c r="H240" s="261">
        <v>0</v>
      </c>
      <c r="I240" s="87"/>
      <c r="J240" s="346"/>
    </row>
  </sheetData>
  <autoFilter ref="A12:H240"/>
  <mergeCells count="1">
    <mergeCell ref="A9:H9"/>
  </mergeCells>
  <pageMargins left="0.70866141732283472" right="0.70866141732283472" top="0.74803149606299213" bottom="0.74803149606299213" header="0.31496062992125984" footer="0.31496062992125984"/>
  <pageSetup paperSize="9" scale="46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9"/>
  <sheetViews>
    <sheetView zoomScale="96" zoomScaleNormal="96" workbookViewId="0">
      <selection activeCell="I16" sqref="I16"/>
    </sheetView>
  </sheetViews>
  <sheetFormatPr defaultColWidth="9.140625" defaultRowHeight="15.75" x14ac:dyDescent="0.25"/>
  <cols>
    <col min="1" max="1" width="60.85546875" style="1" customWidth="1"/>
    <col min="2" max="2" width="6.140625" style="2" customWidth="1"/>
    <col min="3" max="3" width="6" style="2" customWidth="1"/>
    <col min="4" max="4" width="17.5703125" style="1" customWidth="1"/>
    <col min="5" max="5" width="8" style="1" customWidth="1"/>
    <col min="6" max="6" width="21" style="8" customWidth="1"/>
    <col min="7" max="7" width="21" style="55" customWidth="1"/>
    <col min="8" max="8" width="25.42578125" style="41" customWidth="1"/>
    <col min="9" max="9" width="17.85546875" style="4" customWidth="1"/>
    <col min="10" max="10" width="22.7109375" style="4" customWidth="1"/>
    <col min="11" max="12" width="18.5703125" style="4" customWidth="1"/>
    <col min="13" max="13" width="13.28515625" style="4" customWidth="1"/>
    <col min="14" max="16384" width="9.140625" style="4"/>
  </cols>
  <sheetData>
    <row r="1" spans="1:12" x14ac:dyDescent="0.25">
      <c r="F1" s="3"/>
      <c r="G1" s="3"/>
    </row>
    <row r="2" spans="1:12" ht="18.75" x14ac:dyDescent="0.3">
      <c r="D2" s="5"/>
      <c r="F2" s="6"/>
      <c r="G2" s="6" t="s">
        <v>692</v>
      </c>
    </row>
    <row r="3" spans="1:12" ht="18.75" x14ac:dyDescent="0.3">
      <c r="D3" s="5"/>
      <c r="F3" s="6"/>
      <c r="G3" s="6" t="s">
        <v>1</v>
      </c>
    </row>
    <row r="4" spans="1:12" ht="18.75" x14ac:dyDescent="0.3">
      <c r="D4" s="5"/>
      <c r="F4" s="6"/>
      <c r="G4" s="6" t="s">
        <v>2</v>
      </c>
    </row>
    <row r="5" spans="1:12" ht="18.75" x14ac:dyDescent="0.3">
      <c r="D5" s="5"/>
      <c r="F5" s="6"/>
      <c r="G5" s="6" t="s">
        <v>3</v>
      </c>
    </row>
    <row r="6" spans="1:12" ht="18.75" x14ac:dyDescent="0.3">
      <c r="D6" s="5"/>
      <c r="F6" s="6"/>
      <c r="G6" s="6" t="s">
        <v>4</v>
      </c>
    </row>
    <row r="7" spans="1:12" ht="18.75" x14ac:dyDescent="0.3">
      <c r="D7" s="5"/>
      <c r="F7" s="6"/>
      <c r="G7" s="6" t="s">
        <v>694</v>
      </c>
    </row>
    <row r="8" spans="1:12" ht="18.75" x14ac:dyDescent="0.3">
      <c r="D8" s="5"/>
      <c r="F8" s="6"/>
      <c r="G8" s="6" t="s">
        <v>693</v>
      </c>
    </row>
    <row r="9" spans="1:12" x14ac:dyDescent="0.25">
      <c r="F9" s="3"/>
      <c r="G9" s="3"/>
    </row>
    <row r="11" spans="1:12" ht="59.25" customHeight="1" x14ac:dyDescent="0.25">
      <c r="A11" s="351" t="s">
        <v>203</v>
      </c>
      <c r="B11" s="351"/>
      <c r="C11" s="351"/>
      <c r="D11" s="351"/>
      <c r="E11" s="351"/>
      <c r="F11" s="351"/>
      <c r="G11" s="351"/>
      <c r="H11" s="351"/>
      <c r="J11" s="69"/>
      <c r="K11" s="69"/>
      <c r="L11" s="69"/>
    </row>
    <row r="13" spans="1:12" x14ac:dyDescent="0.25">
      <c r="G13" s="7"/>
      <c r="H13" s="7" t="s">
        <v>5</v>
      </c>
      <c r="J13" s="69"/>
      <c r="K13" s="69"/>
      <c r="L13" s="69"/>
    </row>
    <row r="14" spans="1:12" s="12" customFormat="1" ht="30" x14ac:dyDescent="0.25">
      <c r="A14" s="9" t="s">
        <v>6</v>
      </c>
      <c r="B14" s="10" t="s">
        <v>7</v>
      </c>
      <c r="C14" s="10" t="s">
        <v>8</v>
      </c>
      <c r="D14" s="9" t="s">
        <v>9</v>
      </c>
      <c r="E14" s="9" t="s">
        <v>10</v>
      </c>
      <c r="F14" s="11" t="s">
        <v>11</v>
      </c>
      <c r="G14" s="11" t="s">
        <v>12</v>
      </c>
      <c r="H14" s="11" t="s">
        <v>143</v>
      </c>
      <c r="I14" s="55"/>
      <c r="J14" s="55"/>
      <c r="K14" s="55"/>
      <c r="L14" s="55"/>
    </row>
    <row r="15" spans="1:12" s="17" customFormat="1" x14ac:dyDescent="0.25">
      <c r="A15" s="13" t="s">
        <v>13</v>
      </c>
      <c r="B15" s="14"/>
      <c r="C15" s="14"/>
      <c r="D15" s="15"/>
      <c r="E15" s="15"/>
      <c r="F15" s="16">
        <f>F16+F75+F83+F122+F127+F134+F250+F285+F345+F365+F280</f>
        <v>4435896731.1133327</v>
      </c>
      <c r="G15" s="16">
        <f>G16+G75+G83+G122+G127+G134+G250+G285+G345+G365+G280</f>
        <v>3470812388.5144</v>
      </c>
      <c r="H15" s="16">
        <f>H16+H75+H83+H122+H127+H134+H250+H285+H345+H365+H280</f>
        <v>3080330700.9958825</v>
      </c>
      <c r="I15" s="97"/>
      <c r="J15" s="97"/>
      <c r="K15" s="97"/>
      <c r="L15" s="97"/>
    </row>
    <row r="16" spans="1:12" x14ac:dyDescent="0.25">
      <c r="A16" s="18" t="s">
        <v>14</v>
      </c>
      <c r="B16" s="19" t="s">
        <v>15</v>
      </c>
      <c r="C16" s="19"/>
      <c r="D16" s="19"/>
      <c r="E16" s="19"/>
      <c r="F16" s="20">
        <f>F17+F21+F27+F33+F42+F46+F38</f>
        <v>992938699.51333332</v>
      </c>
      <c r="G16" s="20">
        <f>G17+G21+G27+G33+G42+G46+G38</f>
        <v>974951554.32000005</v>
      </c>
      <c r="H16" s="20">
        <f>H17+H21+H27+H33+H42+H46+H38</f>
        <v>972924493.23000002</v>
      </c>
      <c r="J16" s="69"/>
      <c r="K16" s="69"/>
      <c r="L16" s="69"/>
    </row>
    <row r="17" spans="1:8" ht="47.25" x14ac:dyDescent="0.25">
      <c r="A17" s="18" t="s">
        <v>16</v>
      </c>
      <c r="B17" s="19" t="s">
        <v>15</v>
      </c>
      <c r="C17" s="19" t="s">
        <v>17</v>
      </c>
      <c r="D17" s="19"/>
      <c r="E17" s="19"/>
      <c r="F17" s="20">
        <f t="shared" ref="F17:H19" si="0">F18</f>
        <v>9081110</v>
      </c>
      <c r="G17" s="20">
        <f t="shared" si="0"/>
        <v>9085598</v>
      </c>
      <c r="H17" s="20">
        <f t="shared" si="0"/>
        <v>8999510</v>
      </c>
    </row>
    <row r="18" spans="1:8" s="21" customFormat="1" x14ac:dyDescent="0.25">
      <c r="A18" s="18" t="s">
        <v>18</v>
      </c>
      <c r="B18" s="19" t="s">
        <v>15</v>
      </c>
      <c r="C18" s="19" t="s">
        <v>17</v>
      </c>
      <c r="D18" s="19" t="s">
        <v>19</v>
      </c>
      <c r="E18" s="19"/>
      <c r="F18" s="20">
        <f t="shared" si="0"/>
        <v>9081110</v>
      </c>
      <c r="G18" s="20">
        <f t="shared" si="0"/>
        <v>9085598</v>
      </c>
      <c r="H18" s="20">
        <f t="shared" si="0"/>
        <v>8999510</v>
      </c>
    </row>
    <row r="19" spans="1:8" ht="30.75" x14ac:dyDescent="0.25">
      <c r="A19" s="22" t="s">
        <v>20</v>
      </c>
      <c r="B19" s="23" t="s">
        <v>15</v>
      </c>
      <c r="C19" s="23" t="s">
        <v>17</v>
      </c>
      <c r="D19" s="23" t="s">
        <v>21</v>
      </c>
      <c r="E19" s="23"/>
      <c r="F19" s="24">
        <f t="shared" si="0"/>
        <v>9081110</v>
      </c>
      <c r="G19" s="24">
        <f t="shared" si="0"/>
        <v>9085598</v>
      </c>
      <c r="H19" s="24">
        <f t="shared" si="0"/>
        <v>8999510</v>
      </c>
    </row>
    <row r="20" spans="1:8" ht="75.75" x14ac:dyDescent="0.25">
      <c r="A20" s="22" t="s">
        <v>22</v>
      </c>
      <c r="B20" s="23" t="s">
        <v>15</v>
      </c>
      <c r="C20" s="23" t="s">
        <v>17</v>
      </c>
      <c r="D20" s="23" t="s">
        <v>21</v>
      </c>
      <c r="E20" s="23" t="s">
        <v>23</v>
      </c>
      <c r="F20" s="25">
        <f>'Приложение 2'!F19</f>
        <v>9081110</v>
      </c>
      <c r="G20" s="25">
        <f>'Приложение 2'!G19</f>
        <v>9085598</v>
      </c>
      <c r="H20" s="25">
        <f>'Приложение 2'!H19</f>
        <v>8999510</v>
      </c>
    </row>
    <row r="21" spans="1:8" s="21" customFormat="1" ht="63" x14ac:dyDescent="0.25">
      <c r="A21" s="18" t="s">
        <v>24</v>
      </c>
      <c r="B21" s="19" t="s">
        <v>15</v>
      </c>
      <c r="C21" s="19" t="s">
        <v>25</v>
      </c>
      <c r="D21" s="19"/>
      <c r="E21" s="19"/>
      <c r="F21" s="20">
        <f t="shared" ref="F21:H22" si="1">F22</f>
        <v>9442281.120000001</v>
      </c>
      <c r="G21" s="20">
        <f t="shared" si="1"/>
        <v>5072585.76</v>
      </c>
      <c r="H21" s="20">
        <f t="shared" si="1"/>
        <v>5311265.62</v>
      </c>
    </row>
    <row r="22" spans="1:8" x14ac:dyDescent="0.25">
      <c r="A22" s="18" t="s">
        <v>18</v>
      </c>
      <c r="B22" s="19" t="s">
        <v>15</v>
      </c>
      <c r="C22" s="19" t="s">
        <v>25</v>
      </c>
      <c r="D22" s="19" t="s">
        <v>19</v>
      </c>
      <c r="E22" s="19"/>
      <c r="F22" s="20">
        <f t="shared" si="1"/>
        <v>9442281.120000001</v>
      </c>
      <c r="G22" s="20">
        <f t="shared" si="1"/>
        <v>5072585.76</v>
      </c>
      <c r="H22" s="20">
        <f t="shared" si="1"/>
        <v>5311265.62</v>
      </c>
    </row>
    <row r="23" spans="1:8" ht="30.75" x14ac:dyDescent="0.25">
      <c r="A23" s="22" t="s">
        <v>20</v>
      </c>
      <c r="B23" s="23" t="s">
        <v>15</v>
      </c>
      <c r="C23" s="23" t="s">
        <v>25</v>
      </c>
      <c r="D23" s="23" t="s">
        <v>21</v>
      </c>
      <c r="E23" s="23"/>
      <c r="F23" s="24">
        <f>F24+F25+F26</f>
        <v>9442281.120000001</v>
      </c>
      <c r="G23" s="24">
        <f>G24+G25+G26</f>
        <v>5072585.76</v>
      </c>
      <c r="H23" s="24">
        <f>H24+H25+H26</f>
        <v>5311265.62</v>
      </c>
    </row>
    <row r="24" spans="1:8" ht="75.75" x14ac:dyDescent="0.25">
      <c r="A24" s="22" t="s">
        <v>22</v>
      </c>
      <c r="B24" s="23" t="s">
        <v>15</v>
      </c>
      <c r="C24" s="23" t="s">
        <v>25</v>
      </c>
      <c r="D24" s="23" t="s">
        <v>21</v>
      </c>
      <c r="E24" s="23" t="s">
        <v>23</v>
      </c>
      <c r="F24" s="24">
        <f>'Приложение 2'!F26+'Приложение 2'!F24</f>
        <v>6607944.6600000001</v>
      </c>
      <c r="G24" s="24">
        <f>'Приложение 2'!G26+'Приложение 2'!G24</f>
        <v>847154.58</v>
      </c>
      <c r="H24" s="24">
        <f>'Приложение 2'!H26+'Приложение 2'!H24</f>
        <v>874470.08</v>
      </c>
    </row>
    <row r="25" spans="1:8" ht="30.75" x14ac:dyDescent="0.25">
      <c r="A25" s="22" t="s">
        <v>26</v>
      </c>
      <c r="B25" s="23" t="s">
        <v>15</v>
      </c>
      <c r="C25" s="23" t="s">
        <v>25</v>
      </c>
      <c r="D25" s="23" t="s">
        <v>21</v>
      </c>
      <c r="E25" s="23" t="s">
        <v>27</v>
      </c>
      <c r="F25" s="24">
        <f>'Приложение 2'!F27</f>
        <v>2814336.46</v>
      </c>
      <c r="G25" s="24">
        <f>'Приложение 2'!G27</f>
        <v>4195031.18</v>
      </c>
      <c r="H25" s="24">
        <f>'Приложение 2'!H27</f>
        <v>4404814.74</v>
      </c>
    </row>
    <row r="26" spans="1:8" x14ac:dyDescent="0.25">
      <c r="A26" s="22" t="s">
        <v>28</v>
      </c>
      <c r="B26" s="23" t="s">
        <v>15</v>
      </c>
      <c r="C26" s="23" t="s">
        <v>25</v>
      </c>
      <c r="D26" s="23" t="s">
        <v>21</v>
      </c>
      <c r="E26" s="23" t="s">
        <v>29</v>
      </c>
      <c r="F26" s="24">
        <f>'Приложение 2'!F28</f>
        <v>20000</v>
      </c>
      <c r="G26" s="24">
        <f>'Приложение 2'!G28</f>
        <v>30400</v>
      </c>
      <c r="H26" s="24">
        <f>'Приложение 2'!H28</f>
        <v>31980.799999999999</v>
      </c>
    </row>
    <row r="27" spans="1:8" ht="63" x14ac:dyDescent="0.25">
      <c r="A27" s="26" t="s">
        <v>535</v>
      </c>
      <c r="B27" s="19" t="s">
        <v>15</v>
      </c>
      <c r="C27" s="19" t="s">
        <v>30</v>
      </c>
      <c r="D27" s="19"/>
      <c r="E27" s="19"/>
      <c r="F27" s="20">
        <f t="shared" ref="F27:H28" si="2">F28</f>
        <v>75691819.109999999</v>
      </c>
      <c r="G27" s="20">
        <f t="shared" si="2"/>
        <v>77202429.319999993</v>
      </c>
      <c r="H27" s="20">
        <f t="shared" si="2"/>
        <v>77701079.309999987</v>
      </c>
    </row>
    <row r="28" spans="1:8" x14ac:dyDescent="0.25">
      <c r="A28" s="18" t="s">
        <v>18</v>
      </c>
      <c r="B28" s="19" t="s">
        <v>15</v>
      </c>
      <c r="C28" s="19" t="s">
        <v>30</v>
      </c>
      <c r="D28" s="19" t="s">
        <v>19</v>
      </c>
      <c r="E28" s="19"/>
      <c r="F28" s="20">
        <f t="shared" si="2"/>
        <v>75691819.109999999</v>
      </c>
      <c r="G28" s="20">
        <f t="shared" si="2"/>
        <v>77202429.319999993</v>
      </c>
      <c r="H28" s="20">
        <f t="shared" si="2"/>
        <v>77701079.309999987</v>
      </c>
    </row>
    <row r="29" spans="1:8" ht="30.75" x14ac:dyDescent="0.25">
      <c r="A29" s="22" t="s">
        <v>20</v>
      </c>
      <c r="B29" s="23" t="s">
        <v>15</v>
      </c>
      <c r="C29" s="23" t="s">
        <v>30</v>
      </c>
      <c r="D29" s="23" t="s">
        <v>21</v>
      </c>
      <c r="E29" s="23"/>
      <c r="F29" s="24">
        <f>SUM(F30:F32)</f>
        <v>75691819.109999999</v>
      </c>
      <c r="G29" s="24">
        <f>SUM(G30:G32)</f>
        <v>77202429.319999993</v>
      </c>
      <c r="H29" s="24">
        <f>SUM(H30:H32)</f>
        <v>77701079.309999987</v>
      </c>
    </row>
    <row r="30" spans="1:8" ht="75.75" x14ac:dyDescent="0.25">
      <c r="A30" s="22" t="s">
        <v>22</v>
      </c>
      <c r="B30" s="23" t="s">
        <v>15</v>
      </c>
      <c r="C30" s="23" t="s">
        <v>30</v>
      </c>
      <c r="D30" s="23" t="s">
        <v>21</v>
      </c>
      <c r="E30" s="23" t="s">
        <v>23</v>
      </c>
      <c r="F30" s="24">
        <f>'Приложение 2'!F33</f>
        <v>70327780.310000002</v>
      </c>
      <c r="G30" s="24">
        <f>'Приложение 2'!G33</f>
        <v>70532182.319999993</v>
      </c>
      <c r="H30" s="24">
        <f>'Приложение 2'!H33</f>
        <v>70736065.319999993</v>
      </c>
    </row>
    <row r="31" spans="1:8" s="21" customFormat="1" ht="30.75" x14ac:dyDescent="0.25">
      <c r="A31" s="22" t="s">
        <v>26</v>
      </c>
      <c r="B31" s="23" t="s">
        <v>15</v>
      </c>
      <c r="C31" s="23" t="s">
        <v>30</v>
      </c>
      <c r="D31" s="23" t="s">
        <v>21</v>
      </c>
      <c r="E31" s="23" t="s">
        <v>27</v>
      </c>
      <c r="F31" s="24">
        <f>'Приложение 2'!F34</f>
        <v>5209068.8</v>
      </c>
      <c r="G31" s="24">
        <f>'Приложение 2'!G34</f>
        <v>6515277</v>
      </c>
      <c r="H31" s="24">
        <f>'Приложение 2'!H34</f>
        <v>6810043.9900000002</v>
      </c>
    </row>
    <row r="32" spans="1:8" s="21" customFormat="1" x14ac:dyDescent="0.25">
      <c r="A32" s="22" t="s">
        <v>28</v>
      </c>
      <c r="B32" s="23" t="s">
        <v>15</v>
      </c>
      <c r="C32" s="23" t="s">
        <v>30</v>
      </c>
      <c r="D32" s="23" t="s">
        <v>21</v>
      </c>
      <c r="E32" s="23" t="s">
        <v>29</v>
      </c>
      <c r="F32" s="24">
        <f>'Приложение 2'!F36</f>
        <v>154970</v>
      </c>
      <c r="G32" s="24">
        <f>'Приложение 2'!G36</f>
        <v>154970</v>
      </c>
      <c r="H32" s="24">
        <f>'Приложение 2'!H36</f>
        <v>154970</v>
      </c>
    </row>
    <row r="33" spans="1:8" ht="47.25" x14ac:dyDescent="0.25">
      <c r="A33" s="18" t="s">
        <v>31</v>
      </c>
      <c r="B33" s="19" t="s">
        <v>15</v>
      </c>
      <c r="C33" s="19" t="s">
        <v>32</v>
      </c>
      <c r="D33" s="19"/>
      <c r="E33" s="19"/>
      <c r="F33" s="20">
        <f t="shared" ref="F33:H34" si="3">F34</f>
        <v>46605836.530000001</v>
      </c>
      <c r="G33" s="20">
        <f t="shared" si="3"/>
        <v>46937865.759999998</v>
      </c>
      <c r="H33" s="20">
        <f t="shared" si="3"/>
        <v>46445563.060000002</v>
      </c>
    </row>
    <row r="34" spans="1:8" x14ac:dyDescent="0.25">
      <c r="A34" s="18" t="s">
        <v>18</v>
      </c>
      <c r="B34" s="19" t="s">
        <v>15</v>
      </c>
      <c r="C34" s="19" t="s">
        <v>32</v>
      </c>
      <c r="D34" s="19" t="s">
        <v>19</v>
      </c>
      <c r="E34" s="19"/>
      <c r="F34" s="20">
        <f t="shared" si="3"/>
        <v>46605836.530000001</v>
      </c>
      <c r="G34" s="20">
        <f t="shared" si="3"/>
        <v>46937865.759999998</v>
      </c>
      <c r="H34" s="20">
        <f t="shared" si="3"/>
        <v>46445563.060000002</v>
      </c>
    </row>
    <row r="35" spans="1:8" ht="30.75" x14ac:dyDescent="0.25">
      <c r="A35" s="22" t="s">
        <v>20</v>
      </c>
      <c r="B35" s="23" t="s">
        <v>15</v>
      </c>
      <c r="C35" s="23" t="s">
        <v>32</v>
      </c>
      <c r="D35" s="23" t="s">
        <v>21</v>
      </c>
      <c r="E35" s="23"/>
      <c r="F35" s="24">
        <f>SUM(F36:F37)</f>
        <v>46605836.530000001</v>
      </c>
      <c r="G35" s="24">
        <f>SUM(G36:G37)</f>
        <v>46937865.759999998</v>
      </c>
      <c r="H35" s="24">
        <f>SUM(H36:H37)</f>
        <v>46445563.060000002</v>
      </c>
    </row>
    <row r="36" spans="1:8" ht="75.75" x14ac:dyDescent="0.25">
      <c r="A36" s="22" t="s">
        <v>22</v>
      </c>
      <c r="B36" s="23" t="s">
        <v>15</v>
      </c>
      <c r="C36" s="23" t="s">
        <v>32</v>
      </c>
      <c r="D36" s="23" t="s">
        <v>21</v>
      </c>
      <c r="E36" s="23" t="s">
        <v>23</v>
      </c>
      <c r="F36" s="24">
        <f>'Приложение 2'!F41+'Приложение 2'!F43+'Приложение 2'!F47</f>
        <v>43165614.530000001</v>
      </c>
      <c r="G36" s="24">
        <f>'Приложение 2'!G41+'Приложение 2'!G43+'Приложение 2'!G47</f>
        <v>43759941.409999996</v>
      </c>
      <c r="H36" s="24">
        <f>'Приложение 2'!H41+'Приложение 2'!H43+'Приложение 2'!H47</f>
        <v>43202221.640000001</v>
      </c>
    </row>
    <row r="37" spans="1:8" ht="30.75" x14ac:dyDescent="0.25">
      <c r="A37" s="22" t="s">
        <v>26</v>
      </c>
      <c r="B37" s="23" t="s">
        <v>15</v>
      </c>
      <c r="C37" s="23" t="s">
        <v>32</v>
      </c>
      <c r="D37" s="23" t="s">
        <v>21</v>
      </c>
      <c r="E37" s="23" t="s">
        <v>27</v>
      </c>
      <c r="F37" s="24">
        <f>'Приложение 2'!F44+'Приложение 2'!F48</f>
        <v>3440222</v>
      </c>
      <c r="G37" s="24">
        <f>'Приложение 2'!G44+'Приложение 2'!G48</f>
        <v>3177924.35</v>
      </c>
      <c r="H37" s="24">
        <f>'Приложение 2'!H44+'Приложение 2'!H48</f>
        <v>3243341.42</v>
      </c>
    </row>
    <row r="38" spans="1:8" s="27" customFormat="1" ht="31.5" x14ac:dyDescent="0.25">
      <c r="A38" s="18" t="s">
        <v>33</v>
      </c>
      <c r="B38" s="19" t="s">
        <v>15</v>
      </c>
      <c r="C38" s="19" t="s">
        <v>34</v>
      </c>
      <c r="D38" s="19"/>
      <c r="E38" s="19"/>
      <c r="F38" s="20">
        <f t="shared" ref="F38:H40" si="4">F39</f>
        <v>149600</v>
      </c>
      <c r="G38" s="20">
        <f t="shared" si="4"/>
        <v>0</v>
      </c>
      <c r="H38" s="20">
        <f t="shared" si="4"/>
        <v>0</v>
      </c>
    </row>
    <row r="39" spans="1:8" s="27" customFormat="1" x14ac:dyDescent="0.25">
      <c r="A39" s="18" t="s">
        <v>18</v>
      </c>
      <c r="B39" s="19" t="s">
        <v>15</v>
      </c>
      <c r="C39" s="19" t="s">
        <v>34</v>
      </c>
      <c r="D39" s="19" t="s">
        <v>19</v>
      </c>
      <c r="E39" s="19"/>
      <c r="F39" s="20">
        <f t="shared" si="4"/>
        <v>149600</v>
      </c>
      <c r="G39" s="20">
        <f t="shared" si="4"/>
        <v>0</v>
      </c>
      <c r="H39" s="20">
        <f t="shared" si="4"/>
        <v>0</v>
      </c>
    </row>
    <row r="40" spans="1:8" x14ac:dyDescent="0.25">
      <c r="A40" s="22" t="s">
        <v>56</v>
      </c>
      <c r="B40" s="23" t="s">
        <v>15</v>
      </c>
      <c r="C40" s="23" t="s">
        <v>34</v>
      </c>
      <c r="D40" s="23" t="s">
        <v>38</v>
      </c>
      <c r="E40" s="23"/>
      <c r="F40" s="24">
        <f t="shared" si="4"/>
        <v>149600</v>
      </c>
      <c r="G40" s="24">
        <f t="shared" si="4"/>
        <v>0</v>
      </c>
      <c r="H40" s="24">
        <f t="shared" si="4"/>
        <v>0</v>
      </c>
    </row>
    <row r="41" spans="1:8" ht="30.75" x14ac:dyDescent="0.25">
      <c r="A41" s="22" t="s">
        <v>26</v>
      </c>
      <c r="B41" s="23" t="s">
        <v>15</v>
      </c>
      <c r="C41" s="23" t="s">
        <v>34</v>
      </c>
      <c r="D41" s="23" t="s">
        <v>38</v>
      </c>
      <c r="E41" s="23" t="s">
        <v>27</v>
      </c>
      <c r="F41" s="24">
        <f>'Приложение 4'!G50</f>
        <v>149600</v>
      </c>
      <c r="G41" s="24">
        <f>'Приложение 4'!H50</f>
        <v>0</v>
      </c>
      <c r="H41" s="24">
        <f>'Приложение 4'!I50</f>
        <v>0</v>
      </c>
    </row>
    <row r="42" spans="1:8" x14ac:dyDescent="0.25">
      <c r="A42" s="18" t="s">
        <v>35</v>
      </c>
      <c r="B42" s="19" t="s">
        <v>15</v>
      </c>
      <c r="C42" s="19" t="s">
        <v>36</v>
      </c>
      <c r="D42" s="19"/>
      <c r="E42" s="19"/>
      <c r="F42" s="20">
        <f t="shared" ref="F42:H44" si="5">F43</f>
        <v>55555898.879999995</v>
      </c>
      <c r="G42" s="20">
        <f t="shared" si="5"/>
        <v>70000000</v>
      </c>
      <c r="H42" s="20">
        <f t="shared" si="5"/>
        <v>70000000</v>
      </c>
    </row>
    <row r="43" spans="1:8" x14ac:dyDescent="0.25">
      <c r="A43" s="18" t="s">
        <v>18</v>
      </c>
      <c r="B43" s="19" t="s">
        <v>15</v>
      </c>
      <c r="C43" s="19" t="s">
        <v>36</v>
      </c>
      <c r="D43" s="19" t="s">
        <v>19</v>
      </c>
      <c r="E43" s="19"/>
      <c r="F43" s="20">
        <f t="shared" si="5"/>
        <v>55555898.879999995</v>
      </c>
      <c r="G43" s="20">
        <f t="shared" si="5"/>
        <v>70000000</v>
      </c>
      <c r="H43" s="20">
        <f t="shared" si="5"/>
        <v>70000000</v>
      </c>
    </row>
    <row r="44" spans="1:8" x14ac:dyDescent="0.25">
      <c r="A44" s="22" t="s">
        <v>37</v>
      </c>
      <c r="B44" s="23" t="s">
        <v>15</v>
      </c>
      <c r="C44" s="23" t="s">
        <v>36</v>
      </c>
      <c r="D44" s="23" t="s">
        <v>38</v>
      </c>
      <c r="E44" s="23"/>
      <c r="F44" s="24">
        <f t="shared" si="5"/>
        <v>55555898.879999995</v>
      </c>
      <c r="G44" s="24">
        <f t="shared" si="5"/>
        <v>70000000</v>
      </c>
      <c r="H44" s="24">
        <f t="shared" si="5"/>
        <v>70000000</v>
      </c>
    </row>
    <row r="45" spans="1:8" x14ac:dyDescent="0.25">
      <c r="A45" s="22" t="s">
        <v>28</v>
      </c>
      <c r="B45" s="23" t="s">
        <v>15</v>
      </c>
      <c r="C45" s="23" t="s">
        <v>36</v>
      </c>
      <c r="D45" s="23" t="s">
        <v>38</v>
      </c>
      <c r="E45" s="23" t="s">
        <v>29</v>
      </c>
      <c r="F45" s="24">
        <f>'Приложение 2'!F58</f>
        <v>55555898.879999995</v>
      </c>
      <c r="G45" s="24">
        <f>'Приложение 2'!G58</f>
        <v>70000000</v>
      </c>
      <c r="H45" s="24">
        <f>'Приложение 2'!H58</f>
        <v>70000000</v>
      </c>
    </row>
    <row r="46" spans="1:8" s="27" customFormat="1" x14ac:dyDescent="0.25">
      <c r="A46" s="18" t="s">
        <v>39</v>
      </c>
      <c r="B46" s="19" t="s">
        <v>15</v>
      </c>
      <c r="C46" s="19" t="s">
        <v>40</v>
      </c>
      <c r="D46" s="19"/>
      <c r="E46" s="19"/>
      <c r="F46" s="20">
        <f>F47+F50+F62</f>
        <v>796412153.87333333</v>
      </c>
      <c r="G46" s="20">
        <f>G47+G50+G62</f>
        <v>766653075.48000002</v>
      </c>
      <c r="H46" s="20">
        <f>H47+H50+H62</f>
        <v>764467075.24000001</v>
      </c>
    </row>
    <row r="47" spans="1:8" ht="47.25" x14ac:dyDescent="0.25">
      <c r="A47" s="18" t="s">
        <v>41</v>
      </c>
      <c r="B47" s="19" t="s">
        <v>15</v>
      </c>
      <c r="C47" s="19" t="s">
        <v>40</v>
      </c>
      <c r="D47" s="19" t="s">
        <v>42</v>
      </c>
      <c r="E47" s="19"/>
      <c r="F47" s="20">
        <f t="shared" ref="F47:H48" si="6">F48</f>
        <v>9735155</v>
      </c>
      <c r="G47" s="20">
        <f t="shared" si="6"/>
        <v>9735155</v>
      </c>
      <c r="H47" s="20">
        <f t="shared" si="6"/>
        <v>7000000</v>
      </c>
    </row>
    <row r="48" spans="1:8" ht="45" x14ac:dyDescent="0.25">
      <c r="A48" s="231" t="s">
        <v>207</v>
      </c>
      <c r="B48" s="23" t="s">
        <v>15</v>
      </c>
      <c r="C48" s="23" t="s">
        <v>40</v>
      </c>
      <c r="D48" s="23" t="s">
        <v>44</v>
      </c>
      <c r="E48" s="23"/>
      <c r="F48" s="24">
        <f t="shared" si="6"/>
        <v>9735155</v>
      </c>
      <c r="G48" s="24">
        <f t="shared" si="6"/>
        <v>9735155</v>
      </c>
      <c r="H48" s="24">
        <f t="shared" si="6"/>
        <v>7000000</v>
      </c>
    </row>
    <row r="49" spans="1:9" ht="30.75" x14ac:dyDescent="0.25">
      <c r="A49" s="22" t="s">
        <v>26</v>
      </c>
      <c r="B49" s="23" t="s">
        <v>15</v>
      </c>
      <c r="C49" s="23" t="s">
        <v>40</v>
      </c>
      <c r="D49" s="57" t="s">
        <v>44</v>
      </c>
      <c r="E49" s="57" t="s">
        <v>27</v>
      </c>
      <c r="F49" s="58">
        <f>'Приложение 4'!G60+'Приложение 4'!G62</f>
        <v>9735155</v>
      </c>
      <c r="G49" s="58">
        <f>'Приложение 4'!H60+'Приложение 4'!H62</f>
        <v>9735155</v>
      </c>
      <c r="H49" s="58">
        <f>'Приложение 4'!I60+'Приложение 4'!I62</f>
        <v>7000000</v>
      </c>
    </row>
    <row r="50" spans="1:9" ht="31.5" x14ac:dyDescent="0.25">
      <c r="A50" s="18" t="s">
        <v>45</v>
      </c>
      <c r="B50" s="19" t="s">
        <v>15</v>
      </c>
      <c r="C50" s="19" t="s">
        <v>40</v>
      </c>
      <c r="D50" s="19" t="s">
        <v>46</v>
      </c>
      <c r="E50" s="19"/>
      <c r="F50" s="20">
        <f>F51+F58</f>
        <v>194804156.59999999</v>
      </c>
      <c r="G50" s="20">
        <f>G51+G58</f>
        <v>197393584.64000002</v>
      </c>
      <c r="H50" s="20">
        <f>H51+H58</f>
        <v>197393584.50000003</v>
      </c>
    </row>
    <row r="51" spans="1:9" x14ac:dyDescent="0.25">
      <c r="A51" s="22" t="s">
        <v>43</v>
      </c>
      <c r="B51" s="23" t="s">
        <v>15</v>
      </c>
      <c r="C51" s="23" t="s">
        <v>40</v>
      </c>
      <c r="D51" s="23" t="s">
        <v>47</v>
      </c>
      <c r="E51" s="23"/>
      <c r="F51" s="24">
        <f>F52+F56</f>
        <v>153981273.63999999</v>
      </c>
      <c r="G51" s="24">
        <f>G52+G56</f>
        <v>156570701.68000001</v>
      </c>
      <c r="H51" s="24">
        <f>H52+H56</f>
        <v>156570701.54000002</v>
      </c>
    </row>
    <row r="52" spans="1:9" s="56" customFormat="1" x14ac:dyDescent="0.25">
      <c r="A52" s="22" t="s">
        <v>144</v>
      </c>
      <c r="B52" s="23" t="s">
        <v>15</v>
      </c>
      <c r="C52" s="23" t="s">
        <v>40</v>
      </c>
      <c r="D52" s="23" t="s">
        <v>47</v>
      </c>
      <c r="E52" s="23"/>
      <c r="F52" s="24">
        <f>SUM(F53:F55)</f>
        <v>148085773.63999999</v>
      </c>
      <c r="G52" s="24">
        <f>SUM(G53:G55)</f>
        <v>151303201.68000001</v>
      </c>
      <c r="H52" s="24">
        <f>SUM(H53:H55)</f>
        <v>151303201.54000002</v>
      </c>
    </row>
    <row r="53" spans="1:9" ht="30.75" x14ac:dyDescent="0.25">
      <c r="A53" s="22" t="s">
        <v>26</v>
      </c>
      <c r="B53" s="23" t="s">
        <v>15</v>
      </c>
      <c r="C53" s="23" t="s">
        <v>40</v>
      </c>
      <c r="D53" s="23" t="s">
        <v>47</v>
      </c>
      <c r="E53" s="23" t="s">
        <v>27</v>
      </c>
      <c r="F53" s="24">
        <f>'Приложение 4'!G69+'Приложение 4'!G72+'Приложение 4'!G74+'Приложение 4'!G76+'Приложение 4'!G78</f>
        <v>12787041.379999999</v>
      </c>
      <c r="G53" s="24">
        <f>'Приложение 4'!H69+'Приложение 4'!H72+'Приложение 4'!H74+'Приложение 4'!H76+'Приложение 4'!H78</f>
        <v>10987953.68</v>
      </c>
      <c r="H53" s="24">
        <f>'Приложение 4'!I69+'Приложение 4'!I72+'Приложение 4'!I74+'Приложение 4'!I76+'Приложение 4'!I78</f>
        <v>10987953.68</v>
      </c>
    </row>
    <row r="54" spans="1:9" ht="30.75" x14ac:dyDescent="0.25">
      <c r="A54" s="22" t="s">
        <v>48</v>
      </c>
      <c r="B54" s="23" t="s">
        <v>15</v>
      </c>
      <c r="C54" s="23" t="s">
        <v>40</v>
      </c>
      <c r="D54" s="23" t="s">
        <v>47</v>
      </c>
      <c r="E54" s="23" t="s">
        <v>49</v>
      </c>
      <c r="F54" s="24">
        <f>'Приложение 4'!G67</f>
        <v>135288732.25999999</v>
      </c>
      <c r="G54" s="24">
        <f>'Приложение 4'!H67</f>
        <v>140305248</v>
      </c>
      <c r="H54" s="24">
        <f>'Приложение 4'!I67</f>
        <v>140305247.86000001</v>
      </c>
    </row>
    <row r="55" spans="1:9" x14ac:dyDescent="0.25">
      <c r="A55" s="22" t="s">
        <v>28</v>
      </c>
      <c r="B55" s="23" t="s">
        <v>15</v>
      </c>
      <c r="C55" s="23" t="s">
        <v>40</v>
      </c>
      <c r="D55" s="23" t="s">
        <v>47</v>
      </c>
      <c r="E55" s="23" t="s">
        <v>29</v>
      </c>
      <c r="F55" s="24">
        <f>'Приложение 4'!G70</f>
        <v>10000</v>
      </c>
      <c r="G55" s="24">
        <f>'Приложение 4'!H70</f>
        <v>10000</v>
      </c>
      <c r="H55" s="24">
        <f>'Приложение 4'!I70</f>
        <v>10000</v>
      </c>
    </row>
    <row r="56" spans="1:9" s="56" customFormat="1" ht="30.75" x14ac:dyDescent="0.25">
      <c r="A56" s="22" t="s">
        <v>145</v>
      </c>
      <c r="B56" s="23"/>
      <c r="C56" s="23"/>
      <c r="D56" s="23"/>
      <c r="E56" s="23"/>
      <c r="F56" s="24">
        <f>F57</f>
        <v>5895500</v>
      </c>
      <c r="G56" s="24">
        <f>G57</f>
        <v>5267500</v>
      </c>
      <c r="H56" s="24">
        <f>H57</f>
        <v>5267500</v>
      </c>
    </row>
    <row r="57" spans="1:9" ht="30.75" x14ac:dyDescent="0.25">
      <c r="A57" s="22" t="s">
        <v>26</v>
      </c>
      <c r="B57" s="23" t="s">
        <v>15</v>
      </c>
      <c r="C57" s="23" t="s">
        <v>40</v>
      </c>
      <c r="D57" s="23" t="s">
        <v>47</v>
      </c>
      <c r="E57" s="23" t="s">
        <v>27</v>
      </c>
      <c r="F57" s="24">
        <f>'Приложение 4'!G81+'Приложение 4'!G83+'Приложение 4'!G85</f>
        <v>5895500</v>
      </c>
      <c r="G57" s="24">
        <f>'Приложение 4'!H81+'Приложение 4'!H83+'Приложение 4'!H85</f>
        <v>5267500</v>
      </c>
      <c r="H57" s="24">
        <f>'Приложение 4'!I81+'Приложение 4'!I83+'Приложение 4'!I85</f>
        <v>5267500</v>
      </c>
    </row>
    <row r="58" spans="1:9" x14ac:dyDescent="0.25">
      <c r="A58" s="22" t="s">
        <v>50</v>
      </c>
      <c r="B58" s="23" t="s">
        <v>15</v>
      </c>
      <c r="C58" s="23" t="s">
        <v>40</v>
      </c>
      <c r="D58" s="23" t="s">
        <v>51</v>
      </c>
      <c r="E58" s="23"/>
      <c r="F58" s="24">
        <f>SUM(F59:F61)</f>
        <v>40822882.960000001</v>
      </c>
      <c r="G58" s="24">
        <f>SUM(G59:G61)</f>
        <v>40822882.960000001</v>
      </c>
      <c r="H58" s="24">
        <f>SUM(H59:H61)</f>
        <v>40822882.960000001</v>
      </c>
    </row>
    <row r="59" spans="1:9" ht="75.75" x14ac:dyDescent="0.25">
      <c r="A59" s="22" t="s">
        <v>22</v>
      </c>
      <c r="B59" s="23" t="s">
        <v>15</v>
      </c>
      <c r="C59" s="23" t="s">
        <v>40</v>
      </c>
      <c r="D59" s="23" t="s">
        <v>51</v>
      </c>
      <c r="E59" s="23" t="s">
        <v>23</v>
      </c>
      <c r="F59" s="28">
        <f>'Приложение 4'!G88</f>
        <v>37635314.32</v>
      </c>
      <c r="G59" s="28">
        <f>'Приложение 4'!H88</f>
        <v>37635314.32</v>
      </c>
      <c r="H59" s="28">
        <f>'Приложение 4'!I88</f>
        <v>37635314.32</v>
      </c>
      <c r="I59" s="229"/>
    </row>
    <row r="60" spans="1:9" ht="30.75" x14ac:dyDescent="0.25">
      <c r="A60" s="22" t="s">
        <v>26</v>
      </c>
      <c r="B60" s="23" t="s">
        <v>15</v>
      </c>
      <c r="C60" s="23" t="s">
        <v>40</v>
      </c>
      <c r="D60" s="23" t="s">
        <v>51</v>
      </c>
      <c r="E60" s="23" t="s">
        <v>27</v>
      </c>
      <c r="F60" s="28">
        <f>'Приложение 4'!G89</f>
        <v>3182568.64</v>
      </c>
      <c r="G60" s="28">
        <f>'Приложение 4'!H89</f>
        <v>3182568.64</v>
      </c>
      <c r="H60" s="28">
        <f>'Приложение 4'!I89</f>
        <v>3182568.64</v>
      </c>
      <c r="I60" s="229"/>
    </row>
    <row r="61" spans="1:9" s="29" customFormat="1" x14ac:dyDescent="0.25">
      <c r="A61" s="22" t="s">
        <v>28</v>
      </c>
      <c r="B61" s="23" t="s">
        <v>15</v>
      </c>
      <c r="C61" s="23" t="s">
        <v>40</v>
      </c>
      <c r="D61" s="23" t="s">
        <v>51</v>
      </c>
      <c r="E61" s="23" t="s">
        <v>29</v>
      </c>
      <c r="F61" s="28">
        <f>'Приложение 4'!G90</f>
        <v>5000</v>
      </c>
      <c r="G61" s="28">
        <f>'Приложение 4'!H90</f>
        <v>5000</v>
      </c>
      <c r="H61" s="28">
        <f>'Приложение 4'!I90</f>
        <v>5000</v>
      </c>
    </row>
    <row r="62" spans="1:9" x14ac:dyDescent="0.25">
      <c r="A62" s="18" t="s">
        <v>18</v>
      </c>
      <c r="B62" s="19" t="s">
        <v>15</v>
      </c>
      <c r="C62" s="19" t="s">
        <v>40</v>
      </c>
      <c r="D62" s="30">
        <v>9900000000</v>
      </c>
      <c r="E62" s="19"/>
      <c r="F62" s="20">
        <f>F63+F69</f>
        <v>591872842.27333331</v>
      </c>
      <c r="G62" s="20">
        <f>G63+G69</f>
        <v>559524335.84000003</v>
      </c>
      <c r="H62" s="20">
        <f>H63+H69</f>
        <v>560073490.74000001</v>
      </c>
    </row>
    <row r="63" spans="1:9" ht="30.75" x14ac:dyDescent="0.25">
      <c r="A63" s="22" t="s">
        <v>20</v>
      </c>
      <c r="B63" s="23" t="s">
        <v>15</v>
      </c>
      <c r="C63" s="23" t="s">
        <v>40</v>
      </c>
      <c r="D63" s="31">
        <v>9910000000</v>
      </c>
      <c r="E63" s="23"/>
      <c r="F63" s="24">
        <f>SUM(F64:F68)</f>
        <v>545858258.18333328</v>
      </c>
      <c r="G63" s="24">
        <f>SUM(G64:G68)</f>
        <v>553485256.84000003</v>
      </c>
      <c r="H63" s="24">
        <f>SUM(H64:H68)</f>
        <v>553770520.84000003</v>
      </c>
    </row>
    <row r="64" spans="1:9" ht="75.75" x14ac:dyDescent="0.25">
      <c r="A64" s="22" t="s">
        <v>22</v>
      </c>
      <c r="B64" s="23" t="s">
        <v>15</v>
      </c>
      <c r="C64" s="23" t="s">
        <v>40</v>
      </c>
      <c r="D64" s="31">
        <v>9910000000</v>
      </c>
      <c r="E64" s="23" t="s">
        <v>23</v>
      </c>
      <c r="F64" s="24">
        <f>'Приложение 2'!F63+'Приложение 2'!F65+'Приложение 2'!F67+'Приложение 2'!F72+'Приложение 2'!F76+'Приложение 2'!F80</f>
        <v>149727932.92333332</v>
      </c>
      <c r="G64" s="24">
        <f>'Приложение 2'!G63+'Приложение 2'!G65+'Приложение 2'!G67+'Приложение 2'!G72+'Приложение 2'!G76+'Приложение 2'!G80</f>
        <v>149912241.06</v>
      </c>
      <c r="H64" s="24">
        <f>'Приложение 2'!H63+'Приложение 2'!H65+'Приложение 2'!H67+'Приложение 2'!H72+'Приложение 2'!H76+'Приложение 2'!H80</f>
        <v>150015421.06</v>
      </c>
    </row>
    <row r="65" spans="1:8" ht="30.75" x14ac:dyDescent="0.25">
      <c r="A65" s="22" t="s">
        <v>26</v>
      </c>
      <c r="B65" s="23" t="s">
        <v>15</v>
      </c>
      <c r="C65" s="23" t="s">
        <v>40</v>
      </c>
      <c r="D65" s="31">
        <v>9910000000</v>
      </c>
      <c r="E65" s="23" t="s">
        <v>27</v>
      </c>
      <c r="F65" s="24">
        <f>'Приложение 2'!F68+'Приложение 2'!F73+'Приложение 2'!F77+'Приложение 2'!F81</f>
        <v>14339040.5</v>
      </c>
      <c r="G65" s="24">
        <f>'Приложение 2'!G68+'Приложение 2'!G73+'Приложение 2'!G77+'Приложение 2'!G81</f>
        <v>16224315.359999999</v>
      </c>
      <c r="H65" s="24">
        <f>'Приложение 2'!H68+'Приложение 2'!H73+'Приложение 2'!H77+'Приложение 2'!H81</f>
        <v>16406399.359999999</v>
      </c>
    </row>
    <row r="66" spans="1:8" x14ac:dyDescent="0.25">
      <c r="A66" s="22" t="s">
        <v>52</v>
      </c>
      <c r="B66" s="23" t="s">
        <v>15</v>
      </c>
      <c r="C66" s="23" t="s">
        <v>40</v>
      </c>
      <c r="D66" s="31">
        <v>9910000000</v>
      </c>
      <c r="E66" s="23" t="s">
        <v>53</v>
      </c>
      <c r="F66" s="24">
        <f>'Приложение 2'!F82</f>
        <v>81684.639999999999</v>
      </c>
      <c r="G66" s="24">
        <f>'Приложение 2'!G82</f>
        <v>0</v>
      </c>
      <c r="H66" s="24">
        <f>'Приложение 2'!H82</f>
        <v>0</v>
      </c>
    </row>
    <row r="67" spans="1:8" ht="30.75" x14ac:dyDescent="0.25">
      <c r="A67" s="32" t="s">
        <v>54</v>
      </c>
      <c r="B67" s="23" t="s">
        <v>15</v>
      </c>
      <c r="C67" s="23" t="s">
        <v>40</v>
      </c>
      <c r="D67" s="31">
        <v>9910000000</v>
      </c>
      <c r="E67" s="23" t="s">
        <v>55</v>
      </c>
      <c r="F67" s="24">
        <f>'Приложение 2'!F70</f>
        <v>381709600.11999995</v>
      </c>
      <c r="G67" s="24">
        <f>'Приложение 2'!G70</f>
        <v>387348700.42000002</v>
      </c>
      <c r="H67" s="24">
        <f>'Приложение 2'!H70</f>
        <v>387348700.42000002</v>
      </c>
    </row>
    <row r="68" spans="1:8" hidden="1" x14ac:dyDescent="0.25">
      <c r="A68" s="22" t="s">
        <v>28</v>
      </c>
      <c r="B68" s="23" t="s">
        <v>15</v>
      </c>
      <c r="C68" s="23" t="s">
        <v>40</v>
      </c>
      <c r="D68" s="31">
        <v>9910000000</v>
      </c>
      <c r="E68" s="23" t="s">
        <v>29</v>
      </c>
      <c r="F68" s="24">
        <f>'Приложение 2'!F78</f>
        <v>0</v>
      </c>
      <c r="G68" s="24">
        <f>'Приложение 2'!G78</f>
        <v>0</v>
      </c>
      <c r="H68" s="24">
        <f>'Приложение 2'!H78</f>
        <v>0</v>
      </c>
    </row>
    <row r="69" spans="1:8" s="29" customFormat="1" x14ac:dyDescent="0.25">
      <c r="A69" s="22" t="s">
        <v>56</v>
      </c>
      <c r="B69" s="23" t="s">
        <v>15</v>
      </c>
      <c r="C69" s="23" t="s">
        <v>40</v>
      </c>
      <c r="D69" s="23" t="s">
        <v>38</v>
      </c>
      <c r="E69" s="23"/>
      <c r="F69" s="24">
        <f>SUM(F70:F74)</f>
        <v>46014584.090000004</v>
      </c>
      <c r="G69" s="24">
        <f>SUM(G71:G74)</f>
        <v>6039079</v>
      </c>
      <c r="H69" s="24">
        <f>SUM(H71:H74)</f>
        <v>6302969.9000000004</v>
      </c>
    </row>
    <row r="70" spans="1:8" s="29" customFormat="1" ht="75.75" x14ac:dyDescent="0.25">
      <c r="A70" s="22" t="s">
        <v>22</v>
      </c>
      <c r="B70" s="23" t="s">
        <v>15</v>
      </c>
      <c r="C70" s="23" t="s">
        <v>40</v>
      </c>
      <c r="D70" s="23" t="s">
        <v>38</v>
      </c>
      <c r="E70" s="23" t="s">
        <v>23</v>
      </c>
      <c r="F70" s="24">
        <f>'Приложение 2'!F87</f>
        <v>146905</v>
      </c>
      <c r="G70" s="24">
        <f>'Приложение 2'!G87</f>
        <v>0</v>
      </c>
      <c r="H70" s="24">
        <f>'Приложение 2'!H87</f>
        <v>0</v>
      </c>
    </row>
    <row r="71" spans="1:8" s="21" customFormat="1" ht="30.75" x14ac:dyDescent="0.25">
      <c r="A71" s="22" t="s">
        <v>26</v>
      </c>
      <c r="B71" s="23" t="s">
        <v>15</v>
      </c>
      <c r="C71" s="23" t="s">
        <v>40</v>
      </c>
      <c r="D71" s="23" t="s">
        <v>38</v>
      </c>
      <c r="E71" s="23" t="s">
        <v>27</v>
      </c>
      <c r="F71" s="24">
        <f>'Приложение 2'!F88</f>
        <v>7940205.7300000004</v>
      </c>
      <c r="G71" s="24">
        <f>'Приложение 2'!G88</f>
        <v>5809199</v>
      </c>
      <c r="H71" s="24">
        <f>'Приложение 2'!H88</f>
        <v>6073089.9000000004</v>
      </c>
    </row>
    <row r="72" spans="1:8" s="29" customFormat="1" x14ac:dyDescent="0.25">
      <c r="A72" s="22" t="s">
        <v>52</v>
      </c>
      <c r="B72" s="23" t="s">
        <v>15</v>
      </c>
      <c r="C72" s="23" t="s">
        <v>40</v>
      </c>
      <c r="D72" s="23" t="s">
        <v>38</v>
      </c>
      <c r="E72" s="23" t="s">
        <v>53</v>
      </c>
      <c r="F72" s="24">
        <f>'Приложение 2'!F95+'Приложение 2'!F89</f>
        <v>1643811</v>
      </c>
      <c r="G72" s="24">
        <f>'Приложение 2'!G95+'Приложение 2'!G89</f>
        <v>229880</v>
      </c>
      <c r="H72" s="24">
        <f>'Приложение 2'!H95+'Приложение 2'!H89</f>
        <v>229880</v>
      </c>
    </row>
    <row r="73" spans="1:8" s="29" customFormat="1" ht="30.75" x14ac:dyDescent="0.25">
      <c r="A73" s="32" t="s">
        <v>54</v>
      </c>
      <c r="B73" s="23" t="s">
        <v>15</v>
      </c>
      <c r="C73" s="23" t="s">
        <v>40</v>
      </c>
      <c r="D73" s="23" t="s">
        <v>38</v>
      </c>
      <c r="E73" s="23" t="s">
        <v>55</v>
      </c>
      <c r="F73" s="24">
        <f>'Приложение 2'!F90</f>
        <v>19444414.380000003</v>
      </c>
      <c r="G73" s="24">
        <f>'Приложение 2'!G90</f>
        <v>0</v>
      </c>
      <c r="H73" s="24">
        <f>'Приложение 2'!H90</f>
        <v>0</v>
      </c>
    </row>
    <row r="74" spans="1:8" s="29" customFormat="1" x14ac:dyDescent="0.25">
      <c r="A74" s="22" t="s">
        <v>28</v>
      </c>
      <c r="B74" s="23" t="s">
        <v>15</v>
      </c>
      <c r="C74" s="23" t="s">
        <v>40</v>
      </c>
      <c r="D74" s="23" t="s">
        <v>38</v>
      </c>
      <c r="E74" s="23" t="s">
        <v>29</v>
      </c>
      <c r="F74" s="24">
        <f>'Приложение 2'!F97+'Приложение 2'!F99+'Приложение 2'!F91+'Приложение 2'!F85</f>
        <v>16839247.98</v>
      </c>
      <c r="G74" s="24">
        <f>'Приложение 2'!G97+'Приложение 2'!G99+'Приложение 2'!G91+'Приложение 2'!G85</f>
        <v>0</v>
      </c>
      <c r="H74" s="24">
        <f>'Приложение 2'!H97+'Приложение 2'!H99+'Приложение 2'!H91+'Приложение 2'!H85</f>
        <v>0</v>
      </c>
    </row>
    <row r="75" spans="1:8" s="33" customFormat="1" ht="31.5" x14ac:dyDescent="0.25">
      <c r="A75" s="18" t="s">
        <v>57</v>
      </c>
      <c r="B75" s="19" t="s">
        <v>25</v>
      </c>
      <c r="C75" s="19"/>
      <c r="D75" s="19"/>
      <c r="E75" s="19"/>
      <c r="F75" s="20">
        <f t="shared" ref="F75:H76" si="7">F76</f>
        <v>16368913</v>
      </c>
      <c r="G75" s="20">
        <f t="shared" si="7"/>
        <v>15601670</v>
      </c>
      <c r="H75" s="20">
        <f t="shared" si="7"/>
        <v>15552127</v>
      </c>
    </row>
    <row r="76" spans="1:8" s="33" customFormat="1" ht="63" x14ac:dyDescent="0.25">
      <c r="A76" s="18" t="s">
        <v>58</v>
      </c>
      <c r="B76" s="19" t="s">
        <v>25</v>
      </c>
      <c r="C76" s="19" t="s">
        <v>59</v>
      </c>
      <c r="D76" s="19"/>
      <c r="E76" s="19"/>
      <c r="F76" s="20">
        <f t="shared" si="7"/>
        <v>16368913</v>
      </c>
      <c r="G76" s="20">
        <f t="shared" si="7"/>
        <v>15601670</v>
      </c>
      <c r="H76" s="20">
        <f t="shared" si="7"/>
        <v>15552127</v>
      </c>
    </row>
    <row r="77" spans="1:8" s="29" customFormat="1" x14ac:dyDescent="0.25">
      <c r="A77" s="34" t="s">
        <v>18</v>
      </c>
      <c r="B77" s="19" t="s">
        <v>25</v>
      </c>
      <c r="C77" s="19" t="s">
        <v>59</v>
      </c>
      <c r="D77" s="30">
        <v>9900000000</v>
      </c>
      <c r="E77" s="30"/>
      <c r="F77" s="20">
        <f>F78+F81</f>
        <v>16368913</v>
      </c>
      <c r="G77" s="20">
        <f>G78+G81</f>
        <v>15601670</v>
      </c>
      <c r="H77" s="20">
        <f>H78+H81</f>
        <v>15552127</v>
      </c>
    </row>
    <row r="78" spans="1:8" s="29" customFormat="1" ht="30.75" x14ac:dyDescent="0.25">
      <c r="A78" s="22" t="s">
        <v>20</v>
      </c>
      <c r="B78" s="23" t="s">
        <v>25</v>
      </c>
      <c r="C78" s="23" t="s">
        <v>59</v>
      </c>
      <c r="D78" s="31">
        <v>9910000000</v>
      </c>
      <c r="E78" s="31"/>
      <c r="F78" s="24">
        <f>SUM(F79:F80)</f>
        <v>15368913</v>
      </c>
      <c r="G78" s="24">
        <f>SUM(G79:G80)</f>
        <v>14601670</v>
      </c>
      <c r="H78" s="24">
        <f>SUM(H79:H80)</f>
        <v>14552127</v>
      </c>
    </row>
    <row r="79" spans="1:8" s="29" customFormat="1" ht="75.75" x14ac:dyDescent="0.25">
      <c r="A79" s="22" t="s">
        <v>22</v>
      </c>
      <c r="B79" s="23" t="s">
        <v>25</v>
      </c>
      <c r="C79" s="23" t="s">
        <v>59</v>
      </c>
      <c r="D79" s="31">
        <v>9910000000</v>
      </c>
      <c r="E79" s="23" t="s">
        <v>23</v>
      </c>
      <c r="F79" s="24">
        <f>'Приложение 2'!F109</f>
        <v>10916155</v>
      </c>
      <c r="G79" s="24">
        <f>'Приложение 2'!G109</f>
        <v>10916155</v>
      </c>
      <c r="H79" s="24">
        <f>'Приложение 2'!H109</f>
        <v>10916155</v>
      </c>
    </row>
    <row r="80" spans="1:8" s="29" customFormat="1" ht="30.75" x14ac:dyDescent="0.25">
      <c r="A80" s="22" t="s">
        <v>26</v>
      </c>
      <c r="B80" s="23" t="s">
        <v>25</v>
      </c>
      <c r="C80" s="23" t="s">
        <v>59</v>
      </c>
      <c r="D80" s="31">
        <v>9910000000</v>
      </c>
      <c r="E80" s="23" t="s">
        <v>27</v>
      </c>
      <c r="F80" s="24">
        <f>'Приложение 2'!F110</f>
        <v>4452758</v>
      </c>
      <c r="G80" s="24">
        <f>'Приложение 2'!G110</f>
        <v>3685515</v>
      </c>
      <c r="H80" s="24">
        <f>'Приложение 2'!H110</f>
        <v>3635972</v>
      </c>
    </row>
    <row r="81" spans="1:9" s="29" customFormat="1" x14ac:dyDescent="0.25">
      <c r="A81" s="22" t="s">
        <v>56</v>
      </c>
      <c r="B81" s="23" t="s">
        <v>25</v>
      </c>
      <c r="C81" s="23" t="s">
        <v>59</v>
      </c>
      <c r="D81" s="31">
        <v>9950000000</v>
      </c>
      <c r="E81" s="31"/>
      <c r="F81" s="24">
        <f>F82</f>
        <v>1000000</v>
      </c>
      <c r="G81" s="24">
        <f>G82</f>
        <v>1000000</v>
      </c>
      <c r="H81" s="24">
        <f>H82</f>
        <v>1000000</v>
      </c>
    </row>
    <row r="82" spans="1:9" s="29" customFormat="1" ht="30.75" x14ac:dyDescent="0.25">
      <c r="A82" s="22" t="s">
        <v>26</v>
      </c>
      <c r="B82" s="23" t="s">
        <v>25</v>
      </c>
      <c r="C82" s="23" t="s">
        <v>59</v>
      </c>
      <c r="D82" s="31">
        <v>9950000000</v>
      </c>
      <c r="E82" s="31">
        <v>200</v>
      </c>
      <c r="F82" s="24">
        <f>'Приложение 2'!F114</f>
        <v>1000000</v>
      </c>
      <c r="G82" s="24">
        <f>'Приложение 2'!G114</f>
        <v>1000000</v>
      </c>
      <c r="H82" s="24">
        <f>'Приложение 2'!H114</f>
        <v>1000000</v>
      </c>
    </row>
    <row r="83" spans="1:9" s="33" customFormat="1" x14ac:dyDescent="0.25">
      <c r="A83" s="18" t="s">
        <v>60</v>
      </c>
      <c r="B83" s="19" t="s">
        <v>30</v>
      </c>
      <c r="C83" s="19"/>
      <c r="D83" s="19"/>
      <c r="E83" s="19"/>
      <c r="F83" s="20">
        <f>F84+F88+F100+F104+F110</f>
        <v>348341399.82999992</v>
      </c>
      <c r="G83" s="20">
        <f>G84+G88+G100+G104+G110</f>
        <v>133955363.34999999</v>
      </c>
      <c r="H83" s="20">
        <f>H84+H88+H100+H104+H110</f>
        <v>107955567.76999998</v>
      </c>
    </row>
    <row r="84" spans="1:9" s="33" customFormat="1" x14ac:dyDescent="0.25">
      <c r="A84" s="18" t="s">
        <v>61</v>
      </c>
      <c r="B84" s="19" t="s">
        <v>30</v>
      </c>
      <c r="C84" s="19" t="s">
        <v>15</v>
      </c>
      <c r="D84" s="19"/>
      <c r="E84" s="19"/>
      <c r="F84" s="20">
        <f t="shared" ref="F84:H86" si="8">F85</f>
        <v>331283.65999999997</v>
      </c>
      <c r="G84" s="20">
        <f t="shared" si="8"/>
        <v>331283.65999999997</v>
      </c>
      <c r="H84" s="20">
        <f t="shared" si="8"/>
        <v>331283.65999999997</v>
      </c>
    </row>
    <row r="85" spans="1:9" s="33" customFormat="1" x14ac:dyDescent="0.25">
      <c r="A85" s="18" t="s">
        <v>18</v>
      </c>
      <c r="B85" s="19" t="s">
        <v>30</v>
      </c>
      <c r="C85" s="19" t="s">
        <v>15</v>
      </c>
      <c r="D85" s="19">
        <v>9900000000</v>
      </c>
      <c r="E85" s="19"/>
      <c r="F85" s="20">
        <f t="shared" si="8"/>
        <v>331283.65999999997</v>
      </c>
      <c r="G85" s="20">
        <f t="shared" si="8"/>
        <v>331283.65999999997</v>
      </c>
      <c r="H85" s="20">
        <f t="shared" si="8"/>
        <v>331283.65999999997</v>
      </c>
    </row>
    <row r="86" spans="1:9" s="33" customFormat="1" ht="30.75" x14ac:dyDescent="0.25">
      <c r="A86" s="22" t="s">
        <v>20</v>
      </c>
      <c r="B86" s="23" t="s">
        <v>30</v>
      </c>
      <c r="C86" s="23" t="s">
        <v>15</v>
      </c>
      <c r="D86" s="23" t="s">
        <v>21</v>
      </c>
      <c r="E86" s="23"/>
      <c r="F86" s="24">
        <f t="shared" si="8"/>
        <v>331283.65999999997</v>
      </c>
      <c r="G86" s="24">
        <f t="shared" si="8"/>
        <v>331283.65999999997</v>
      </c>
      <c r="H86" s="24">
        <f t="shared" si="8"/>
        <v>331283.65999999997</v>
      </c>
    </row>
    <row r="87" spans="1:9" s="33" customFormat="1" ht="75.75" x14ac:dyDescent="0.25">
      <c r="A87" s="22" t="s">
        <v>22</v>
      </c>
      <c r="B87" s="23" t="s">
        <v>30</v>
      </c>
      <c r="C87" s="23" t="s">
        <v>15</v>
      </c>
      <c r="D87" s="23" t="s">
        <v>21</v>
      </c>
      <c r="E87" s="23" t="s">
        <v>23</v>
      </c>
      <c r="F87" s="24">
        <f>'Приложение 2'!F122</f>
        <v>331283.65999999997</v>
      </c>
      <c r="G87" s="24">
        <f>'Приложение 2'!G122</f>
        <v>331283.65999999997</v>
      </c>
      <c r="H87" s="24">
        <f>'Приложение 2'!H122</f>
        <v>331283.65999999997</v>
      </c>
    </row>
    <row r="88" spans="1:9" s="33" customFormat="1" x14ac:dyDescent="0.25">
      <c r="A88" s="18" t="s">
        <v>62</v>
      </c>
      <c r="B88" s="19" t="s">
        <v>30</v>
      </c>
      <c r="C88" s="19" t="s">
        <v>63</v>
      </c>
      <c r="D88" s="19"/>
      <c r="E88" s="19"/>
      <c r="F88" s="20">
        <f>F89+F95</f>
        <v>116789941.36999999</v>
      </c>
      <c r="G88" s="20">
        <f>G89+G95</f>
        <v>73547621.189999998</v>
      </c>
      <c r="H88" s="20">
        <f>H89+H95</f>
        <v>47068125.989999995</v>
      </c>
    </row>
    <row r="89" spans="1:9" s="33" customFormat="1" ht="63" x14ac:dyDescent="0.25">
      <c r="A89" s="18" t="s">
        <v>64</v>
      </c>
      <c r="B89" s="19" t="s">
        <v>30</v>
      </c>
      <c r="C89" s="19" t="s">
        <v>63</v>
      </c>
      <c r="D89" s="19" t="s">
        <v>65</v>
      </c>
      <c r="E89" s="19"/>
      <c r="F89" s="20">
        <f>F90+F92</f>
        <v>112921527.17999999</v>
      </c>
      <c r="G89" s="20">
        <f>G90+G92</f>
        <v>69679207</v>
      </c>
      <c r="H89" s="20">
        <f>H90+H92</f>
        <v>43199711.799999997</v>
      </c>
    </row>
    <row r="90" spans="1:9" s="29" customFormat="1" ht="30.75" x14ac:dyDescent="0.25">
      <c r="A90" s="22" t="s">
        <v>200</v>
      </c>
      <c r="B90" s="23" t="s">
        <v>30</v>
      </c>
      <c r="C90" s="23" t="s">
        <v>63</v>
      </c>
      <c r="D90" s="23" t="s">
        <v>66</v>
      </c>
      <c r="E90" s="23"/>
      <c r="F90" s="24">
        <f>F91</f>
        <v>109723450.84999999</v>
      </c>
      <c r="G90" s="24">
        <f>G91</f>
        <v>66757500</v>
      </c>
      <c r="H90" s="24">
        <f>H91</f>
        <v>40057500</v>
      </c>
    </row>
    <row r="91" spans="1:9" s="29" customFormat="1" x14ac:dyDescent="0.25">
      <c r="A91" s="32" t="s">
        <v>28</v>
      </c>
      <c r="B91" s="23" t="s">
        <v>30</v>
      </c>
      <c r="C91" s="23" t="s">
        <v>63</v>
      </c>
      <c r="D91" s="23" t="s">
        <v>66</v>
      </c>
      <c r="E91" s="23" t="s">
        <v>29</v>
      </c>
      <c r="F91" s="24">
        <f>'Приложение 4'!G134+'Приложение 4'!G136+'Приложение 4'!G138+'Приложение 4'!G140+'Приложение 4'!G142</f>
        <v>109723450.84999999</v>
      </c>
      <c r="G91" s="24">
        <f>'Приложение 4'!H134+'Приложение 4'!H136+'Приложение 4'!H138+'Приложение 4'!H140+'Приложение 4'!H142</f>
        <v>66757500</v>
      </c>
      <c r="H91" s="24">
        <f>'Приложение 4'!I134+'Приложение 4'!I136+'Приложение 4'!I138+'Приложение 4'!I140+'Приложение 4'!I142</f>
        <v>40057500</v>
      </c>
    </row>
    <row r="92" spans="1:9" s="33" customFormat="1" x14ac:dyDescent="0.25">
      <c r="A92" s="22" t="s">
        <v>50</v>
      </c>
      <c r="B92" s="23" t="s">
        <v>30</v>
      </c>
      <c r="C92" s="23" t="s">
        <v>63</v>
      </c>
      <c r="D92" s="23" t="s">
        <v>67</v>
      </c>
      <c r="E92" s="23"/>
      <c r="F92" s="24">
        <f>SUBTOTAL(9,F93:F94)</f>
        <v>3198076.33</v>
      </c>
      <c r="G92" s="24">
        <f>SUBTOTAL(9,G93:G94)</f>
        <v>2921707</v>
      </c>
      <c r="H92" s="24">
        <f>SUBTOTAL(9,H93:H94)</f>
        <v>3142211.8</v>
      </c>
    </row>
    <row r="93" spans="1:9" s="33" customFormat="1" ht="75.75" x14ac:dyDescent="0.25">
      <c r="A93" s="22" t="s">
        <v>22</v>
      </c>
      <c r="B93" s="23" t="s">
        <v>30</v>
      </c>
      <c r="C93" s="23" t="s">
        <v>63</v>
      </c>
      <c r="D93" s="23" t="s">
        <v>67</v>
      </c>
      <c r="E93" s="23" t="s">
        <v>23</v>
      </c>
      <c r="F93" s="28">
        <f>'Приложение 4'!G145</f>
        <v>1647062.35</v>
      </c>
      <c r="G93" s="28">
        <f>'Приложение 4'!H145</f>
        <v>1527480.66</v>
      </c>
      <c r="H93" s="28">
        <f>'Приложение 4'!I145</f>
        <v>1684548.94</v>
      </c>
    </row>
    <row r="94" spans="1:9" s="33" customFormat="1" ht="30.75" x14ac:dyDescent="0.25">
      <c r="A94" s="32" t="s">
        <v>26</v>
      </c>
      <c r="B94" s="23" t="s">
        <v>30</v>
      </c>
      <c r="C94" s="23" t="s">
        <v>63</v>
      </c>
      <c r="D94" s="23" t="s">
        <v>67</v>
      </c>
      <c r="E94" s="228">
        <v>200</v>
      </c>
      <c r="F94" s="28">
        <f>'Приложение 4'!G146</f>
        <v>1551013.98</v>
      </c>
      <c r="G94" s="28">
        <f>'Приложение 4'!H146</f>
        <v>1394226.34</v>
      </c>
      <c r="H94" s="28">
        <f>'Приложение 4'!I146</f>
        <v>1457662.86</v>
      </c>
      <c r="I94" s="59"/>
    </row>
    <row r="95" spans="1:9" s="33" customFormat="1" x14ac:dyDescent="0.25">
      <c r="A95" s="34" t="s">
        <v>18</v>
      </c>
      <c r="B95" s="19" t="s">
        <v>30</v>
      </c>
      <c r="C95" s="19" t="s">
        <v>63</v>
      </c>
      <c r="D95" s="19">
        <v>9900000000</v>
      </c>
      <c r="E95" s="31"/>
      <c r="F95" s="68">
        <f>F96+F98</f>
        <v>3868414.19</v>
      </c>
      <c r="G95" s="68">
        <f>G96+G98</f>
        <v>3868414.19</v>
      </c>
      <c r="H95" s="68">
        <f>H96+H98</f>
        <v>3868414.19</v>
      </c>
    </row>
    <row r="96" spans="1:9" s="33" customFormat="1" ht="30.75" x14ac:dyDescent="0.25">
      <c r="A96" s="22" t="s">
        <v>20</v>
      </c>
      <c r="B96" s="23" t="s">
        <v>30</v>
      </c>
      <c r="C96" s="23" t="s">
        <v>63</v>
      </c>
      <c r="D96" s="23">
        <v>9910000000</v>
      </c>
      <c r="E96" s="31"/>
      <c r="F96" s="24">
        <f>F97</f>
        <v>3408414.19</v>
      </c>
      <c r="G96" s="24">
        <f>G97</f>
        <v>3408414.19</v>
      </c>
      <c r="H96" s="24">
        <f>H97</f>
        <v>3408414.19</v>
      </c>
    </row>
    <row r="97" spans="1:8" s="33" customFormat="1" ht="75.75" x14ac:dyDescent="0.25">
      <c r="A97" s="32" t="s">
        <v>22</v>
      </c>
      <c r="B97" s="23" t="s">
        <v>30</v>
      </c>
      <c r="C97" s="23" t="s">
        <v>63</v>
      </c>
      <c r="D97" s="23">
        <v>9910000000</v>
      </c>
      <c r="E97" s="31" t="s">
        <v>23</v>
      </c>
      <c r="F97" s="24">
        <f>'Приложение 2'!F127</f>
        <v>3408414.19</v>
      </c>
      <c r="G97" s="24">
        <f>'Приложение 2'!G127</f>
        <v>3408414.19</v>
      </c>
      <c r="H97" s="24">
        <f>'Приложение 2'!H127</f>
        <v>3408414.19</v>
      </c>
    </row>
    <row r="98" spans="1:8" s="33" customFormat="1" x14ac:dyDescent="0.25">
      <c r="A98" s="32" t="s">
        <v>56</v>
      </c>
      <c r="B98" s="23" t="s">
        <v>30</v>
      </c>
      <c r="C98" s="23" t="s">
        <v>63</v>
      </c>
      <c r="D98" s="23" t="s">
        <v>38</v>
      </c>
      <c r="E98" s="31"/>
      <c r="F98" s="24">
        <f>F99</f>
        <v>460000</v>
      </c>
      <c r="G98" s="24">
        <f>G99</f>
        <v>460000</v>
      </c>
      <c r="H98" s="24">
        <f>H99</f>
        <v>460000</v>
      </c>
    </row>
    <row r="99" spans="1:8" s="33" customFormat="1" x14ac:dyDescent="0.25">
      <c r="A99" s="32" t="s">
        <v>52</v>
      </c>
      <c r="B99" s="23" t="s">
        <v>30</v>
      </c>
      <c r="C99" s="23" t="s">
        <v>63</v>
      </c>
      <c r="D99" s="23" t="s">
        <v>38</v>
      </c>
      <c r="E99" s="31">
        <v>300</v>
      </c>
      <c r="F99" s="24">
        <f>'Приложение 2'!F130</f>
        <v>460000</v>
      </c>
      <c r="G99" s="24">
        <f>'Приложение 2'!G130</f>
        <v>460000</v>
      </c>
      <c r="H99" s="24">
        <f>'Приложение 2'!H130</f>
        <v>460000</v>
      </c>
    </row>
    <row r="100" spans="1:8" s="33" customFormat="1" x14ac:dyDescent="0.25">
      <c r="A100" s="34" t="s">
        <v>68</v>
      </c>
      <c r="B100" s="19" t="s">
        <v>30</v>
      </c>
      <c r="C100" s="19" t="s">
        <v>69</v>
      </c>
      <c r="D100" s="30"/>
      <c r="E100" s="30"/>
      <c r="F100" s="20">
        <f>F101</f>
        <v>19720000</v>
      </c>
      <c r="G100" s="20">
        <f>G101</f>
        <v>17150000</v>
      </c>
      <c r="H100" s="20">
        <f>H101</f>
        <v>17150000</v>
      </c>
    </row>
    <row r="101" spans="1:8" s="33" customFormat="1" ht="31.5" x14ac:dyDescent="0.25">
      <c r="A101" s="34" t="s">
        <v>70</v>
      </c>
      <c r="B101" s="19" t="s">
        <v>30</v>
      </c>
      <c r="C101" s="19" t="s">
        <v>69</v>
      </c>
      <c r="D101" s="35" t="s">
        <v>71</v>
      </c>
      <c r="E101" s="30"/>
      <c r="F101" s="20">
        <f t="shared" ref="F101:H102" si="9">F102</f>
        <v>19720000</v>
      </c>
      <c r="G101" s="20">
        <f t="shared" si="9"/>
        <v>17150000</v>
      </c>
      <c r="H101" s="20">
        <f t="shared" si="9"/>
        <v>17150000</v>
      </c>
    </row>
    <row r="102" spans="1:8" s="33" customFormat="1" ht="30" x14ac:dyDescent="0.25">
      <c r="A102" s="232" t="s">
        <v>198</v>
      </c>
      <c r="B102" s="23" t="s">
        <v>30</v>
      </c>
      <c r="C102" s="23" t="s">
        <v>69</v>
      </c>
      <c r="D102" s="36" t="s">
        <v>72</v>
      </c>
      <c r="E102" s="31"/>
      <c r="F102" s="24">
        <f t="shared" si="9"/>
        <v>19720000</v>
      </c>
      <c r="G102" s="24">
        <f t="shared" si="9"/>
        <v>17150000</v>
      </c>
      <c r="H102" s="24">
        <f t="shared" si="9"/>
        <v>17150000</v>
      </c>
    </row>
    <row r="103" spans="1:8" s="33" customFormat="1" ht="30.75" x14ac:dyDescent="0.25">
      <c r="A103" s="22" t="s">
        <v>26</v>
      </c>
      <c r="B103" s="23" t="s">
        <v>30</v>
      </c>
      <c r="C103" s="23" t="s">
        <v>69</v>
      </c>
      <c r="D103" s="36" t="s">
        <v>72</v>
      </c>
      <c r="E103" s="31">
        <v>800</v>
      </c>
      <c r="F103" s="24">
        <f>'Приложение 4'!G158+'Приложение 4'!G160</f>
        <v>19720000</v>
      </c>
      <c r="G103" s="24">
        <f>'Приложение 4'!H158+'Приложение 4'!H160</f>
        <v>17150000</v>
      </c>
      <c r="H103" s="24">
        <f>'Приложение 4'!I158+'Приложение 4'!I160</f>
        <v>17150000</v>
      </c>
    </row>
    <row r="104" spans="1:8" s="33" customFormat="1" x14ac:dyDescent="0.25">
      <c r="A104" s="34" t="s">
        <v>73</v>
      </c>
      <c r="B104" s="19" t="s">
        <v>30</v>
      </c>
      <c r="C104" s="19" t="s">
        <v>74</v>
      </c>
      <c r="D104" s="30"/>
      <c r="E104" s="30"/>
      <c r="F104" s="20">
        <f t="shared" ref="F104:H106" si="10">F105</f>
        <v>166741120.79999998</v>
      </c>
      <c r="G104" s="20">
        <f t="shared" si="10"/>
        <v>15455434.5</v>
      </c>
      <c r="H104" s="20">
        <f t="shared" si="10"/>
        <v>15455434.5</v>
      </c>
    </row>
    <row r="105" spans="1:8" s="33" customFormat="1" ht="31.5" x14ac:dyDescent="0.25">
      <c r="A105" s="34" t="s">
        <v>70</v>
      </c>
      <c r="B105" s="19" t="s">
        <v>30</v>
      </c>
      <c r="C105" s="19" t="s">
        <v>74</v>
      </c>
      <c r="D105" s="35" t="s">
        <v>71</v>
      </c>
      <c r="E105" s="30"/>
      <c r="F105" s="20">
        <f>F106+F108</f>
        <v>166741120.79999998</v>
      </c>
      <c r="G105" s="20">
        <f>G106+G108</f>
        <v>15455434.5</v>
      </c>
      <c r="H105" s="20">
        <f>H106+H108</f>
        <v>15455434.5</v>
      </c>
    </row>
    <row r="106" spans="1:8" s="29" customFormat="1" x14ac:dyDescent="0.25">
      <c r="A106" s="232" t="s">
        <v>197</v>
      </c>
      <c r="B106" s="23" t="s">
        <v>30</v>
      </c>
      <c r="C106" s="23" t="s">
        <v>74</v>
      </c>
      <c r="D106" s="36" t="s">
        <v>72</v>
      </c>
      <c r="E106" s="31"/>
      <c r="F106" s="24">
        <f t="shared" si="10"/>
        <v>160454609.84999999</v>
      </c>
      <c r="G106" s="24">
        <f t="shared" si="10"/>
        <v>15455434.5</v>
      </c>
      <c r="H106" s="24">
        <f t="shared" si="10"/>
        <v>15455434.5</v>
      </c>
    </row>
    <row r="107" spans="1:8" s="33" customFormat="1" ht="30.75" x14ac:dyDescent="0.25">
      <c r="A107" s="22" t="s">
        <v>26</v>
      </c>
      <c r="B107" s="23" t="s">
        <v>30</v>
      </c>
      <c r="C107" s="23" t="s">
        <v>74</v>
      </c>
      <c r="D107" s="36" t="s">
        <v>72</v>
      </c>
      <c r="E107" s="31">
        <v>200</v>
      </c>
      <c r="F107" s="24">
        <f>'Приложение 4'!G165</f>
        <v>160454609.84999999</v>
      </c>
      <c r="G107" s="24">
        <f>'Приложение 4'!H165</f>
        <v>15455434.5</v>
      </c>
      <c r="H107" s="24">
        <f>'Приложение 4'!I165</f>
        <v>15455434.5</v>
      </c>
    </row>
    <row r="108" spans="1:8" s="33" customFormat="1" x14ac:dyDescent="0.25">
      <c r="A108" s="233" t="s">
        <v>50</v>
      </c>
      <c r="B108" s="23" t="s">
        <v>30</v>
      </c>
      <c r="C108" s="23" t="s">
        <v>74</v>
      </c>
      <c r="D108" s="36" t="s">
        <v>199</v>
      </c>
      <c r="E108" s="31"/>
      <c r="F108" s="24">
        <f>F109</f>
        <v>6286510.9500000002</v>
      </c>
      <c r="G108" s="24">
        <f>G109</f>
        <v>0</v>
      </c>
      <c r="H108" s="24">
        <f>H109</f>
        <v>0</v>
      </c>
    </row>
    <row r="109" spans="1:8" s="33" customFormat="1" ht="30.75" x14ac:dyDescent="0.25">
      <c r="A109" s="22" t="s">
        <v>26</v>
      </c>
      <c r="B109" s="23" t="s">
        <v>30</v>
      </c>
      <c r="C109" s="23" t="s">
        <v>74</v>
      </c>
      <c r="D109" s="36" t="s">
        <v>199</v>
      </c>
      <c r="E109" s="31">
        <v>200</v>
      </c>
      <c r="F109" s="24">
        <f>'Приложение 4'!G168</f>
        <v>6286510.9500000002</v>
      </c>
      <c r="G109" s="24">
        <f>'Приложение 4'!H168</f>
        <v>0</v>
      </c>
      <c r="H109" s="24">
        <f>'Приложение 4'!I168</f>
        <v>0</v>
      </c>
    </row>
    <row r="110" spans="1:8" s="33" customFormat="1" ht="31.5" x14ac:dyDescent="0.25">
      <c r="A110" s="34" t="s">
        <v>75</v>
      </c>
      <c r="B110" s="19" t="s">
        <v>30</v>
      </c>
      <c r="C110" s="19" t="s">
        <v>76</v>
      </c>
      <c r="D110" s="30"/>
      <c r="E110" s="30"/>
      <c r="F110" s="20">
        <f>F111+F119</f>
        <v>44759054</v>
      </c>
      <c r="G110" s="20">
        <f>G111+G119</f>
        <v>27471024</v>
      </c>
      <c r="H110" s="20">
        <f>H111+H119</f>
        <v>27950723.619999997</v>
      </c>
    </row>
    <row r="111" spans="1:8" s="29" customFormat="1" ht="31.5" x14ac:dyDescent="0.25">
      <c r="A111" s="34" t="s">
        <v>151</v>
      </c>
      <c r="B111" s="19" t="s">
        <v>30</v>
      </c>
      <c r="C111" s="19" t="s">
        <v>76</v>
      </c>
      <c r="D111" s="35" t="s">
        <v>77</v>
      </c>
      <c r="E111" s="30"/>
      <c r="F111" s="20">
        <f>F112+F115</f>
        <v>36759054</v>
      </c>
      <c r="G111" s="20">
        <f>G112+G115</f>
        <v>27471024</v>
      </c>
      <c r="H111" s="20">
        <f>H112+H115</f>
        <v>27950723.619999997</v>
      </c>
    </row>
    <row r="112" spans="1:8" s="29" customFormat="1" ht="30.75" x14ac:dyDescent="0.25">
      <c r="A112" s="32" t="s">
        <v>201</v>
      </c>
      <c r="B112" s="23" t="s">
        <v>30</v>
      </c>
      <c r="C112" s="23" t="s">
        <v>76</v>
      </c>
      <c r="D112" s="36" t="s">
        <v>78</v>
      </c>
      <c r="E112" s="31"/>
      <c r="F112" s="24">
        <f>SUM(F113:F114)</f>
        <v>20761500</v>
      </c>
      <c r="G112" s="24">
        <f>SUM(G113:G114)</f>
        <v>12763960</v>
      </c>
      <c r="H112" s="24">
        <f>SUM(H113:H114)</f>
        <v>12766518.4</v>
      </c>
    </row>
    <row r="113" spans="1:8" s="29" customFormat="1" ht="30.75" x14ac:dyDescent="0.25">
      <c r="A113" s="32" t="s">
        <v>26</v>
      </c>
      <c r="B113" s="23" t="s">
        <v>30</v>
      </c>
      <c r="C113" s="23" t="s">
        <v>76</v>
      </c>
      <c r="D113" s="36" t="s">
        <v>78</v>
      </c>
      <c r="E113" s="31">
        <v>200</v>
      </c>
      <c r="F113" s="24">
        <f>'Приложение 4'!G177+'Приложение 4'!G181</f>
        <v>331500</v>
      </c>
      <c r="G113" s="24">
        <f>'Приложение 4'!H177+'Приложение 4'!H181</f>
        <v>333960</v>
      </c>
      <c r="H113" s="24">
        <f>'Приложение 4'!I177+'Приложение 4'!I181</f>
        <v>336518.40000000002</v>
      </c>
    </row>
    <row r="114" spans="1:8" s="29" customFormat="1" x14ac:dyDescent="0.25">
      <c r="A114" s="32" t="s">
        <v>28</v>
      </c>
      <c r="B114" s="23" t="s">
        <v>30</v>
      </c>
      <c r="C114" s="23" t="s">
        <v>76</v>
      </c>
      <c r="D114" s="36" t="s">
        <v>78</v>
      </c>
      <c r="E114" s="31">
        <v>800</v>
      </c>
      <c r="F114" s="24">
        <f>'Приложение 4'!G173+'Приложение 4'!G175+'Приложение 4'!G179</f>
        <v>20430000</v>
      </c>
      <c r="G114" s="24">
        <f>'Приложение 4'!H173+'Приложение 4'!H175+'Приложение 4'!H179</f>
        <v>12430000</v>
      </c>
      <c r="H114" s="24">
        <f>'Приложение 4'!I173+'Приложение 4'!I175+'Приложение 4'!I179</f>
        <v>12430000</v>
      </c>
    </row>
    <row r="115" spans="1:8" s="29" customFormat="1" x14ac:dyDescent="0.25">
      <c r="A115" s="233" t="s">
        <v>50</v>
      </c>
      <c r="B115" s="23" t="s">
        <v>30</v>
      </c>
      <c r="C115" s="23" t="s">
        <v>76</v>
      </c>
      <c r="D115" s="36" t="s">
        <v>543</v>
      </c>
      <c r="E115" s="31"/>
      <c r="F115" s="24">
        <f>SUM(F116:F118)</f>
        <v>15997554</v>
      </c>
      <c r="G115" s="24">
        <f>SUM(G116:G118)</f>
        <v>14707064</v>
      </c>
      <c r="H115" s="24">
        <f>SUM(H116:H118)</f>
        <v>15184205.219999999</v>
      </c>
    </row>
    <row r="116" spans="1:8" s="29" customFormat="1" ht="75.75" x14ac:dyDescent="0.25">
      <c r="A116" s="22" t="s">
        <v>22</v>
      </c>
      <c r="B116" s="23" t="s">
        <v>30</v>
      </c>
      <c r="C116" s="23" t="s">
        <v>76</v>
      </c>
      <c r="D116" s="36" t="s">
        <v>543</v>
      </c>
      <c r="E116" s="31">
        <v>100</v>
      </c>
      <c r="F116" s="24">
        <f>'Приложение 4'!G184</f>
        <v>9306674</v>
      </c>
      <c r="G116" s="24">
        <f>'Приложение 4'!H184</f>
        <v>8007578</v>
      </c>
      <c r="H116" s="24">
        <f>'Приложение 4'!I184</f>
        <v>8222579.3200000003</v>
      </c>
    </row>
    <row r="117" spans="1:8" s="29" customFormat="1" ht="30.75" x14ac:dyDescent="0.25">
      <c r="A117" s="22" t="s">
        <v>26</v>
      </c>
      <c r="B117" s="23" t="s">
        <v>30</v>
      </c>
      <c r="C117" s="23" t="s">
        <v>76</v>
      </c>
      <c r="D117" s="36" t="s">
        <v>543</v>
      </c>
      <c r="E117" s="31">
        <v>200</v>
      </c>
      <c r="F117" s="24">
        <f>'Приложение 4'!G185</f>
        <v>5692980</v>
      </c>
      <c r="G117" s="24">
        <f>'Приложение 4'!H185</f>
        <v>5701586</v>
      </c>
      <c r="H117" s="24">
        <f>'Приложение 4'!I185</f>
        <v>5963725.8999999994</v>
      </c>
    </row>
    <row r="118" spans="1:8" s="29" customFormat="1" x14ac:dyDescent="0.25">
      <c r="A118" s="32" t="s">
        <v>28</v>
      </c>
      <c r="B118" s="23" t="s">
        <v>30</v>
      </c>
      <c r="C118" s="23" t="s">
        <v>76</v>
      </c>
      <c r="D118" s="36" t="s">
        <v>543</v>
      </c>
      <c r="E118" s="31">
        <v>800</v>
      </c>
      <c r="F118" s="24">
        <f>'Приложение 4'!G186</f>
        <v>997900</v>
      </c>
      <c r="G118" s="24">
        <f>'Приложение 4'!H186</f>
        <v>997900</v>
      </c>
      <c r="H118" s="24">
        <f>'Приложение 4'!I186</f>
        <v>997900</v>
      </c>
    </row>
    <row r="119" spans="1:8" s="33" customFormat="1" x14ac:dyDescent="0.25">
      <c r="A119" s="18" t="s">
        <v>18</v>
      </c>
      <c r="B119" s="19" t="s">
        <v>30</v>
      </c>
      <c r="C119" s="19" t="s">
        <v>76</v>
      </c>
      <c r="D119" s="35" t="s">
        <v>19</v>
      </c>
      <c r="E119" s="30"/>
      <c r="F119" s="20">
        <f t="shared" ref="F119:H120" si="11">F120</f>
        <v>8000000</v>
      </c>
      <c r="G119" s="20">
        <f t="shared" si="11"/>
        <v>0</v>
      </c>
      <c r="H119" s="20">
        <f t="shared" si="11"/>
        <v>0</v>
      </c>
    </row>
    <row r="120" spans="1:8" s="29" customFormat="1" x14ac:dyDescent="0.25">
      <c r="A120" s="22" t="s">
        <v>56</v>
      </c>
      <c r="B120" s="23" t="s">
        <v>30</v>
      </c>
      <c r="C120" s="23" t="s">
        <v>76</v>
      </c>
      <c r="D120" s="36" t="s">
        <v>38</v>
      </c>
      <c r="E120" s="31"/>
      <c r="F120" s="24">
        <f t="shared" si="11"/>
        <v>8000000</v>
      </c>
      <c r="G120" s="24">
        <f t="shared" si="11"/>
        <v>0</v>
      </c>
      <c r="H120" s="24">
        <f t="shared" si="11"/>
        <v>0</v>
      </c>
    </row>
    <row r="121" spans="1:8" s="29" customFormat="1" x14ac:dyDescent="0.25">
      <c r="A121" s="32" t="s">
        <v>28</v>
      </c>
      <c r="B121" s="23" t="s">
        <v>30</v>
      </c>
      <c r="C121" s="23" t="s">
        <v>76</v>
      </c>
      <c r="D121" s="36" t="s">
        <v>38</v>
      </c>
      <c r="E121" s="31">
        <v>800</v>
      </c>
      <c r="F121" s="24">
        <f>'Приложение 2'!F135</f>
        <v>8000000</v>
      </c>
      <c r="G121" s="24">
        <f>'Приложение 2'!G135</f>
        <v>0</v>
      </c>
      <c r="H121" s="24">
        <f>'Приложение 2'!H135</f>
        <v>0</v>
      </c>
    </row>
    <row r="122" spans="1:8" s="29" customFormat="1" ht="28.5" hidden="1" customHeight="1" x14ac:dyDescent="0.25">
      <c r="A122" s="18" t="s">
        <v>79</v>
      </c>
      <c r="B122" s="19" t="s">
        <v>63</v>
      </c>
      <c r="C122" s="19"/>
      <c r="D122" s="35"/>
      <c r="E122" s="30"/>
      <c r="F122" s="20">
        <f t="shared" ref="F122:G125" si="12">F123</f>
        <v>0</v>
      </c>
      <c r="G122" s="20">
        <f t="shared" si="12"/>
        <v>0</v>
      </c>
      <c r="H122" s="28"/>
    </row>
    <row r="123" spans="1:8" s="29" customFormat="1" hidden="1" x14ac:dyDescent="0.25">
      <c r="A123" s="18" t="s">
        <v>80</v>
      </c>
      <c r="B123" s="19" t="s">
        <v>63</v>
      </c>
      <c r="C123" s="19" t="s">
        <v>25</v>
      </c>
      <c r="D123" s="35"/>
      <c r="E123" s="30"/>
      <c r="F123" s="20">
        <f t="shared" si="12"/>
        <v>0</v>
      </c>
      <c r="G123" s="20">
        <f t="shared" si="12"/>
        <v>0</v>
      </c>
      <c r="H123" s="28"/>
    </row>
    <row r="124" spans="1:8" s="29" customFormat="1" hidden="1" x14ac:dyDescent="0.25">
      <c r="A124" s="18" t="s">
        <v>18</v>
      </c>
      <c r="B124" s="19" t="s">
        <v>63</v>
      </c>
      <c r="C124" s="19" t="s">
        <v>25</v>
      </c>
      <c r="D124" s="35" t="s">
        <v>19</v>
      </c>
      <c r="E124" s="30"/>
      <c r="F124" s="20">
        <f t="shared" si="12"/>
        <v>0</v>
      </c>
      <c r="G124" s="20">
        <f t="shared" si="12"/>
        <v>0</v>
      </c>
      <c r="H124" s="28"/>
    </row>
    <row r="125" spans="1:8" s="29" customFormat="1" hidden="1" x14ac:dyDescent="0.25">
      <c r="A125" s="22" t="s">
        <v>56</v>
      </c>
      <c r="B125" s="23" t="s">
        <v>63</v>
      </c>
      <c r="C125" s="23" t="s">
        <v>25</v>
      </c>
      <c r="D125" s="36" t="s">
        <v>38</v>
      </c>
      <c r="E125" s="31"/>
      <c r="F125" s="24">
        <f t="shared" si="12"/>
        <v>0</v>
      </c>
      <c r="G125" s="24">
        <f t="shared" si="12"/>
        <v>0</v>
      </c>
      <c r="H125" s="28"/>
    </row>
    <row r="126" spans="1:8" s="29" customFormat="1" ht="30.75" hidden="1" x14ac:dyDescent="0.25">
      <c r="A126" s="22" t="s">
        <v>26</v>
      </c>
      <c r="B126" s="23" t="s">
        <v>63</v>
      </c>
      <c r="C126" s="23" t="s">
        <v>25</v>
      </c>
      <c r="D126" s="36" t="s">
        <v>38</v>
      </c>
      <c r="E126" s="31">
        <v>200</v>
      </c>
      <c r="F126" s="24">
        <f>'[1]Приложение 3'!G144</f>
        <v>0</v>
      </c>
      <c r="G126" s="24">
        <f>'[1]Приложение 3'!H144</f>
        <v>0</v>
      </c>
      <c r="H126" s="28"/>
    </row>
    <row r="127" spans="1:8" s="33" customFormat="1" x14ac:dyDescent="0.25">
      <c r="A127" s="34" t="s">
        <v>81</v>
      </c>
      <c r="B127" s="19" t="s">
        <v>32</v>
      </c>
      <c r="C127" s="19"/>
      <c r="D127" s="30"/>
      <c r="E127" s="30"/>
      <c r="F127" s="20">
        <f t="shared" ref="F127:H129" si="13">F128</f>
        <v>36937135.100000001</v>
      </c>
      <c r="G127" s="20">
        <f t="shared" si="13"/>
        <v>31880289.210000001</v>
      </c>
      <c r="H127" s="20">
        <f t="shared" si="13"/>
        <v>33155500.780000001</v>
      </c>
    </row>
    <row r="128" spans="1:8" s="33" customFormat="1" ht="31.5" x14ac:dyDescent="0.25">
      <c r="A128" s="18" t="s">
        <v>82</v>
      </c>
      <c r="B128" s="19" t="s">
        <v>32</v>
      </c>
      <c r="C128" s="19" t="s">
        <v>25</v>
      </c>
      <c r="D128" s="35"/>
      <c r="E128" s="30"/>
      <c r="F128" s="20">
        <f t="shared" si="13"/>
        <v>36937135.100000001</v>
      </c>
      <c r="G128" s="20">
        <f t="shared" si="13"/>
        <v>31880289.210000001</v>
      </c>
      <c r="H128" s="20">
        <f t="shared" si="13"/>
        <v>33155500.780000001</v>
      </c>
    </row>
    <row r="129" spans="1:12" s="33" customFormat="1" ht="31.5" x14ac:dyDescent="0.25">
      <c r="A129" s="34" t="s">
        <v>83</v>
      </c>
      <c r="B129" s="19" t="s">
        <v>32</v>
      </c>
      <c r="C129" s="19" t="s">
        <v>25</v>
      </c>
      <c r="D129" s="234">
        <v>7100000000</v>
      </c>
      <c r="E129" s="150"/>
      <c r="F129" s="20">
        <f t="shared" si="13"/>
        <v>36937135.100000001</v>
      </c>
      <c r="G129" s="20">
        <f t="shared" si="13"/>
        <v>31880289.210000001</v>
      </c>
      <c r="H129" s="20">
        <f t="shared" si="13"/>
        <v>33155500.780000001</v>
      </c>
    </row>
    <row r="130" spans="1:12" s="33" customFormat="1" ht="45.75" x14ac:dyDescent="0.25">
      <c r="A130" s="32" t="s">
        <v>202</v>
      </c>
      <c r="B130" s="23" t="s">
        <v>32</v>
      </c>
      <c r="C130" s="23" t="s">
        <v>25</v>
      </c>
      <c r="D130" s="228">
        <v>7130000000</v>
      </c>
      <c r="E130" s="149"/>
      <c r="F130" s="24">
        <f>SUM(F131:F133)</f>
        <v>36937135.100000001</v>
      </c>
      <c r="G130" s="24">
        <f>SUM(G131:G133)</f>
        <v>31880289.210000001</v>
      </c>
      <c r="H130" s="24">
        <f>SUM(H131:H133)</f>
        <v>33155500.780000001</v>
      </c>
    </row>
    <row r="131" spans="1:12" s="33" customFormat="1" ht="30.75" x14ac:dyDescent="0.25">
      <c r="A131" s="32" t="s">
        <v>26</v>
      </c>
      <c r="B131" s="23" t="s">
        <v>32</v>
      </c>
      <c r="C131" s="23" t="s">
        <v>25</v>
      </c>
      <c r="D131" s="228">
        <v>7130000000</v>
      </c>
      <c r="E131" s="228">
        <v>200</v>
      </c>
      <c r="F131" s="24">
        <f>'Приложение 4'!G201+'Приложение 4'!G204+'Приложение 4'!G206+'Приложение 4'!G208</f>
        <v>24444869.75</v>
      </c>
      <c r="G131" s="24">
        <f>'Приложение 4'!H201+'Приложение 4'!H204+'Приложение 4'!H206+'Приложение 4'!H208</f>
        <v>31880289.210000001</v>
      </c>
      <c r="H131" s="24">
        <f>'Приложение 4'!I201+'Приложение 4'!I204+'Приложение 4'!I206+'Приложение 4'!I208</f>
        <v>33155500.780000001</v>
      </c>
    </row>
    <row r="132" spans="1:12" s="33" customFormat="1" ht="27" hidden="1" customHeight="1" x14ac:dyDescent="0.25">
      <c r="A132" s="32" t="s">
        <v>48</v>
      </c>
      <c r="B132" s="23" t="s">
        <v>32</v>
      </c>
      <c r="C132" s="23" t="s">
        <v>25</v>
      </c>
      <c r="D132" s="228">
        <v>7130000000</v>
      </c>
      <c r="E132" s="228">
        <v>400</v>
      </c>
      <c r="F132" s="24">
        <v>0</v>
      </c>
      <c r="G132" s="24">
        <v>0</v>
      </c>
      <c r="H132" s="28">
        <v>0</v>
      </c>
      <c r="I132" s="59"/>
    </row>
    <row r="133" spans="1:12" s="33" customFormat="1" x14ac:dyDescent="0.25">
      <c r="A133" s="37" t="s">
        <v>84</v>
      </c>
      <c r="B133" s="23" t="s">
        <v>32</v>
      </c>
      <c r="C133" s="23" t="s">
        <v>25</v>
      </c>
      <c r="D133" s="228">
        <v>7130000000</v>
      </c>
      <c r="E133" s="228">
        <v>500</v>
      </c>
      <c r="F133" s="24">
        <f>'Приложение 4'!G202</f>
        <v>12492265.35</v>
      </c>
      <c r="G133" s="24">
        <f>'Приложение 4'!H202</f>
        <v>0</v>
      </c>
      <c r="H133" s="24">
        <f>'Приложение 4'!I202</f>
        <v>0</v>
      </c>
    </row>
    <row r="134" spans="1:12" s="33" customFormat="1" x14ac:dyDescent="0.25">
      <c r="A134" s="34" t="s">
        <v>85</v>
      </c>
      <c r="B134" s="19" t="s">
        <v>34</v>
      </c>
      <c r="C134" s="19"/>
      <c r="D134" s="30"/>
      <c r="E134" s="30"/>
      <c r="F134" s="20">
        <f>F135+F146+F168+F211+F226+F188</f>
        <v>1540614592.3799999</v>
      </c>
      <c r="G134" s="20">
        <f>G135+G146+G168+G211+G226+G188</f>
        <v>1334651200.9744</v>
      </c>
      <c r="H134" s="20">
        <f>H135+H146+H168+H211+H226+H188</f>
        <v>1364209207.4908001</v>
      </c>
    </row>
    <row r="135" spans="1:12" s="33" customFormat="1" x14ac:dyDescent="0.25">
      <c r="A135" s="34" t="s">
        <v>86</v>
      </c>
      <c r="B135" s="19" t="s">
        <v>34</v>
      </c>
      <c r="C135" s="19" t="s">
        <v>15</v>
      </c>
      <c r="D135" s="30"/>
      <c r="E135" s="30"/>
      <c r="F135" s="20">
        <f>F136+F142</f>
        <v>417247479.91000003</v>
      </c>
      <c r="G135" s="20">
        <f>G136+G142</f>
        <v>388941350.53000003</v>
      </c>
      <c r="H135" s="20">
        <f>H136+H142</f>
        <v>402363350.30000007</v>
      </c>
    </row>
    <row r="136" spans="1:12" s="38" customFormat="1" x14ac:dyDescent="0.25">
      <c r="A136" s="34" t="s">
        <v>87</v>
      </c>
      <c r="B136" s="19" t="s">
        <v>34</v>
      </c>
      <c r="C136" s="19" t="s">
        <v>15</v>
      </c>
      <c r="D136" s="35" t="s">
        <v>88</v>
      </c>
      <c r="E136" s="30"/>
      <c r="F136" s="20">
        <f>F137</f>
        <v>384820209.05000001</v>
      </c>
      <c r="G136" s="20">
        <f>G137</f>
        <v>381617159.83000004</v>
      </c>
      <c r="H136" s="20">
        <f>H137</f>
        <v>395325447.19000006</v>
      </c>
      <c r="J136" s="267"/>
      <c r="K136" s="267"/>
      <c r="L136" s="267"/>
    </row>
    <row r="137" spans="1:12" s="1" customFormat="1" ht="15" x14ac:dyDescent="0.2">
      <c r="A137" s="235" t="s">
        <v>50</v>
      </c>
      <c r="B137" s="23" t="s">
        <v>34</v>
      </c>
      <c r="C137" s="23" t="s">
        <v>15</v>
      </c>
      <c r="D137" s="36" t="s">
        <v>89</v>
      </c>
      <c r="E137" s="31"/>
      <c r="F137" s="24">
        <f>SUM(F138:F141)</f>
        <v>384820209.05000001</v>
      </c>
      <c r="G137" s="24">
        <f>SUM(G138:G141)</f>
        <v>381617159.83000004</v>
      </c>
      <c r="H137" s="24">
        <f>SUM(H138:H141)</f>
        <v>395325447.19000006</v>
      </c>
    </row>
    <row r="138" spans="1:12" s="38" customFormat="1" ht="75" x14ac:dyDescent="0.2">
      <c r="A138" s="32" t="s">
        <v>22</v>
      </c>
      <c r="B138" s="23" t="s">
        <v>34</v>
      </c>
      <c r="C138" s="23" t="s">
        <v>15</v>
      </c>
      <c r="D138" s="36" t="s">
        <v>89</v>
      </c>
      <c r="E138" s="31">
        <v>100</v>
      </c>
      <c r="F138" s="28">
        <f>'Приложение 4'!G214</f>
        <v>195627745.19</v>
      </c>
      <c r="G138" s="28">
        <f>'Приложение 4'!H214</f>
        <v>195941035.19</v>
      </c>
      <c r="H138" s="28">
        <f>'Приложение 4'!I214</f>
        <v>199594401.33000001</v>
      </c>
    </row>
    <row r="139" spans="1:12" s="38" customFormat="1" ht="30" x14ac:dyDescent="0.2">
      <c r="A139" s="22" t="s">
        <v>26</v>
      </c>
      <c r="B139" s="23" t="s">
        <v>34</v>
      </c>
      <c r="C139" s="23" t="s">
        <v>15</v>
      </c>
      <c r="D139" s="36" t="s">
        <v>89</v>
      </c>
      <c r="E139" s="31">
        <v>200</v>
      </c>
      <c r="F139" s="28">
        <f>'Приложение 4'!G215</f>
        <v>185028357.86000001</v>
      </c>
      <c r="G139" s="28">
        <f>'Приложение 4'!H215</f>
        <v>181816340.64000002</v>
      </c>
      <c r="H139" s="28">
        <f>'Приложение 4'!I215</f>
        <v>191871261.86000001</v>
      </c>
      <c r="J139" s="267"/>
    </row>
    <row r="140" spans="1:12" s="38" customFormat="1" ht="15" x14ac:dyDescent="0.2">
      <c r="A140" s="32" t="s">
        <v>52</v>
      </c>
      <c r="B140" s="23" t="s">
        <v>34</v>
      </c>
      <c r="C140" s="23" t="s">
        <v>15</v>
      </c>
      <c r="D140" s="36" t="s">
        <v>89</v>
      </c>
      <c r="E140" s="31">
        <v>300</v>
      </c>
      <c r="F140" s="28">
        <f>'Приложение 4'!G216</f>
        <v>313290</v>
      </c>
      <c r="G140" s="28">
        <f>'Приложение 4'!H216</f>
        <v>0</v>
      </c>
      <c r="H140" s="28">
        <f>'Приложение 4'!I216</f>
        <v>0</v>
      </c>
    </row>
    <row r="141" spans="1:12" s="33" customFormat="1" x14ac:dyDescent="0.25">
      <c r="A141" s="32" t="s">
        <v>28</v>
      </c>
      <c r="B141" s="23" t="s">
        <v>34</v>
      </c>
      <c r="C141" s="23" t="s">
        <v>15</v>
      </c>
      <c r="D141" s="36" t="s">
        <v>89</v>
      </c>
      <c r="E141" s="31">
        <v>800</v>
      </c>
      <c r="F141" s="28">
        <f>'Приложение 4'!G217</f>
        <v>3850816</v>
      </c>
      <c r="G141" s="28">
        <f>'Приложение 4'!H217</f>
        <v>3859784</v>
      </c>
      <c r="H141" s="28">
        <f>'Приложение 4'!I217</f>
        <v>3859784</v>
      </c>
    </row>
    <row r="142" spans="1:12" s="33" customFormat="1" x14ac:dyDescent="0.25">
      <c r="A142" s="18" t="s">
        <v>18</v>
      </c>
      <c r="B142" s="19" t="s">
        <v>34</v>
      </c>
      <c r="C142" s="19" t="s">
        <v>15</v>
      </c>
      <c r="D142" s="39" t="s">
        <v>19</v>
      </c>
      <c r="E142" s="30"/>
      <c r="F142" s="20">
        <f>F143</f>
        <v>32427270.859999999</v>
      </c>
      <c r="G142" s="20">
        <f>G143</f>
        <v>7324190.7000000002</v>
      </c>
      <c r="H142" s="20">
        <f>H143</f>
        <v>7037903.1100000003</v>
      </c>
    </row>
    <row r="143" spans="1:12" s="33" customFormat="1" x14ac:dyDescent="0.25">
      <c r="A143" s="22" t="s">
        <v>56</v>
      </c>
      <c r="B143" s="23" t="s">
        <v>34</v>
      </c>
      <c r="C143" s="23" t="s">
        <v>15</v>
      </c>
      <c r="D143" s="40" t="s">
        <v>38</v>
      </c>
      <c r="E143" s="31"/>
      <c r="F143" s="24">
        <f>F145+F144</f>
        <v>32427270.859999999</v>
      </c>
      <c r="G143" s="24">
        <f>G145+G144</f>
        <v>7324190.7000000002</v>
      </c>
      <c r="H143" s="24">
        <f>H145+H144</f>
        <v>7037903.1100000003</v>
      </c>
    </row>
    <row r="144" spans="1:12" s="33" customFormat="1" ht="30.75" x14ac:dyDescent="0.25">
      <c r="A144" s="22" t="s">
        <v>26</v>
      </c>
      <c r="B144" s="23" t="s">
        <v>34</v>
      </c>
      <c r="C144" s="23" t="s">
        <v>15</v>
      </c>
      <c r="D144" s="40" t="s">
        <v>38</v>
      </c>
      <c r="E144" s="31">
        <v>200</v>
      </c>
      <c r="F144" s="24">
        <f>'Приложение 2'!F153</f>
        <v>24816792.579999998</v>
      </c>
      <c r="G144" s="24">
        <f>'Приложение 2'!G153</f>
        <v>0</v>
      </c>
      <c r="H144" s="24">
        <f>'Приложение 2'!H153</f>
        <v>0</v>
      </c>
    </row>
    <row r="145" spans="1:8" s="33" customFormat="1" x14ac:dyDescent="0.25">
      <c r="A145" s="32" t="s">
        <v>28</v>
      </c>
      <c r="B145" s="23" t="s">
        <v>34</v>
      </c>
      <c r="C145" s="23" t="s">
        <v>15</v>
      </c>
      <c r="D145" s="40" t="s">
        <v>38</v>
      </c>
      <c r="E145" s="31">
        <v>800</v>
      </c>
      <c r="F145" s="24">
        <f>'Приложение 2'!F154</f>
        <v>7610478.2800000003</v>
      </c>
      <c r="G145" s="24">
        <f>'Приложение 2'!G154</f>
        <v>7324190.7000000002</v>
      </c>
      <c r="H145" s="24">
        <f>'Приложение 2'!H154</f>
        <v>7037903.1100000003</v>
      </c>
    </row>
    <row r="146" spans="1:8" s="33" customFormat="1" x14ac:dyDescent="0.25">
      <c r="A146" s="34" t="s">
        <v>90</v>
      </c>
      <c r="B146" s="19" t="s">
        <v>34</v>
      </c>
      <c r="C146" s="19" t="s">
        <v>17</v>
      </c>
      <c r="D146" s="30"/>
      <c r="E146" s="30"/>
      <c r="F146" s="20">
        <f>F147+F159+F162</f>
        <v>654811661.50999999</v>
      </c>
      <c r="G146" s="20">
        <f>G147+G159+G162</f>
        <v>527472658.45999998</v>
      </c>
      <c r="H146" s="20">
        <f>H147+H159+H162</f>
        <v>537328644.54999995</v>
      </c>
    </row>
    <row r="147" spans="1:8" s="33" customFormat="1" x14ac:dyDescent="0.25">
      <c r="A147" s="34" t="s">
        <v>87</v>
      </c>
      <c r="B147" s="19" t="s">
        <v>34</v>
      </c>
      <c r="C147" s="19" t="s">
        <v>17</v>
      </c>
      <c r="D147" s="35" t="s">
        <v>88</v>
      </c>
      <c r="E147" s="30"/>
      <c r="F147" s="20">
        <f>F154+F151+F148</f>
        <v>537071980.88</v>
      </c>
      <c r="G147" s="20">
        <f>G154+G151+G148</f>
        <v>527472658.45999998</v>
      </c>
      <c r="H147" s="20">
        <f>H154+H151+H148</f>
        <v>537328644.54999995</v>
      </c>
    </row>
    <row r="148" spans="1:8" s="29" customFormat="1" ht="60.75" x14ac:dyDescent="0.25">
      <c r="A148" s="32" t="s">
        <v>635</v>
      </c>
      <c r="B148" s="23" t="s">
        <v>34</v>
      </c>
      <c r="C148" s="23" t="s">
        <v>17</v>
      </c>
      <c r="D148" s="36" t="s">
        <v>92</v>
      </c>
      <c r="E148" s="31"/>
      <c r="F148" s="24">
        <f>SUM(F149:F150)</f>
        <v>88434</v>
      </c>
      <c r="G148" s="24">
        <f>SUM(G149:G150)</f>
        <v>88434</v>
      </c>
      <c r="H148" s="24">
        <f>SUM(H149:H150)</f>
        <v>86783.78</v>
      </c>
    </row>
    <row r="149" spans="1:8" s="33" customFormat="1" ht="75.75" x14ac:dyDescent="0.25">
      <c r="A149" s="32" t="s">
        <v>22</v>
      </c>
      <c r="B149" s="23" t="s">
        <v>34</v>
      </c>
      <c r="C149" s="23" t="s">
        <v>17</v>
      </c>
      <c r="D149" s="100" t="s">
        <v>92</v>
      </c>
      <c r="E149" s="101" t="s">
        <v>23</v>
      </c>
      <c r="F149" s="24">
        <f>'Приложение 4'!G227</f>
        <v>32425.8</v>
      </c>
      <c r="G149" s="24">
        <f>'Приложение 4'!H227</f>
        <v>32425.8</v>
      </c>
      <c r="H149" s="24">
        <f>'Приложение 4'!I227</f>
        <v>30775.579999999998</v>
      </c>
    </row>
    <row r="150" spans="1:8" s="33" customFormat="1" ht="30.75" x14ac:dyDescent="0.25">
      <c r="A150" s="32" t="s">
        <v>54</v>
      </c>
      <c r="B150" s="23" t="s">
        <v>34</v>
      </c>
      <c r="C150" s="23" t="s">
        <v>17</v>
      </c>
      <c r="D150" s="100" t="s">
        <v>92</v>
      </c>
      <c r="E150" s="101" t="s">
        <v>55</v>
      </c>
      <c r="F150" s="24">
        <f>'Приложение 4'!G228</f>
        <v>56008.2</v>
      </c>
      <c r="G150" s="24">
        <f>'Приложение 4'!H228</f>
        <v>56008.2</v>
      </c>
      <c r="H150" s="24">
        <f>'Приложение 4'!I228</f>
        <v>56008.2</v>
      </c>
    </row>
    <row r="151" spans="1:8" s="29" customFormat="1" ht="30.75" x14ac:dyDescent="0.25">
      <c r="A151" s="32" t="s">
        <v>539</v>
      </c>
      <c r="B151" s="23" t="s">
        <v>34</v>
      </c>
      <c r="C151" s="23" t="s">
        <v>17</v>
      </c>
      <c r="D151" s="36" t="s">
        <v>93</v>
      </c>
      <c r="E151" s="31"/>
      <c r="F151" s="24">
        <f>SUM(F152:F153)</f>
        <v>665054.6100000001</v>
      </c>
      <c r="G151" s="24">
        <f>SUM(G152:G153)</f>
        <v>0</v>
      </c>
      <c r="H151" s="24">
        <f>SUM(H152:H153)</f>
        <v>0</v>
      </c>
    </row>
    <row r="152" spans="1:8" s="29" customFormat="1" ht="30.75" x14ac:dyDescent="0.25">
      <c r="A152" s="22" t="s">
        <v>26</v>
      </c>
      <c r="B152" s="23" t="s">
        <v>34</v>
      </c>
      <c r="C152" s="23" t="s">
        <v>17</v>
      </c>
      <c r="D152" s="36" t="s">
        <v>93</v>
      </c>
      <c r="E152" s="31">
        <v>200</v>
      </c>
      <c r="F152" s="24">
        <f>'Приложение 4'!G231</f>
        <v>84221.010000000009</v>
      </c>
      <c r="G152" s="24">
        <f>'Приложение 4'!H231</f>
        <v>0</v>
      </c>
      <c r="H152" s="24">
        <f>'Приложение 4'!I231</f>
        <v>0</v>
      </c>
    </row>
    <row r="153" spans="1:8" s="29" customFormat="1" ht="30.75" x14ac:dyDescent="0.25">
      <c r="A153" s="32" t="s">
        <v>54</v>
      </c>
      <c r="B153" s="23" t="s">
        <v>34</v>
      </c>
      <c r="C153" s="23" t="s">
        <v>17</v>
      </c>
      <c r="D153" s="36" t="s">
        <v>93</v>
      </c>
      <c r="E153" s="31">
        <v>600</v>
      </c>
      <c r="F153" s="24">
        <f>'Приложение 4'!G232</f>
        <v>580833.60000000009</v>
      </c>
      <c r="G153" s="24">
        <f>'Приложение 4'!H232</f>
        <v>0</v>
      </c>
      <c r="H153" s="24">
        <f>'Приложение 4'!I232</f>
        <v>0</v>
      </c>
    </row>
    <row r="154" spans="1:8" s="33" customFormat="1" x14ac:dyDescent="0.25">
      <c r="A154" s="235" t="s">
        <v>50</v>
      </c>
      <c r="B154" s="23" t="s">
        <v>34</v>
      </c>
      <c r="C154" s="23" t="s">
        <v>17</v>
      </c>
      <c r="D154" s="36" t="s">
        <v>89</v>
      </c>
      <c r="E154" s="31"/>
      <c r="F154" s="24">
        <f>SUM(F155:F158)</f>
        <v>536318492.27000004</v>
      </c>
      <c r="G154" s="24">
        <f>SUM(G155:G158)</f>
        <v>527384224.45999998</v>
      </c>
      <c r="H154" s="24">
        <f>SUM(H155:H158)</f>
        <v>537241860.76999998</v>
      </c>
    </row>
    <row r="155" spans="1:8" s="33" customFormat="1" ht="75.75" x14ac:dyDescent="0.25">
      <c r="A155" s="22" t="s">
        <v>22</v>
      </c>
      <c r="B155" s="23" t="s">
        <v>34</v>
      </c>
      <c r="C155" s="23" t="s">
        <v>17</v>
      </c>
      <c r="D155" s="36" t="s">
        <v>89</v>
      </c>
      <c r="E155" s="31">
        <v>100</v>
      </c>
      <c r="F155" s="28">
        <f>'Приложение 4'!G235</f>
        <v>108796285.90000001</v>
      </c>
      <c r="G155" s="28">
        <f>'Приложение 4'!H235</f>
        <v>111833533.09999999</v>
      </c>
      <c r="H155" s="28">
        <f>'Приложение 4'!I235</f>
        <v>112903891.59</v>
      </c>
    </row>
    <row r="156" spans="1:8" s="33" customFormat="1" ht="30.75" x14ac:dyDescent="0.25">
      <c r="A156" s="22" t="s">
        <v>26</v>
      </c>
      <c r="B156" s="23" t="s">
        <v>34</v>
      </c>
      <c r="C156" s="23" t="s">
        <v>17</v>
      </c>
      <c r="D156" s="36" t="s">
        <v>89</v>
      </c>
      <c r="E156" s="31">
        <v>200</v>
      </c>
      <c r="F156" s="28">
        <f>'Приложение 4'!G236+'Приложение 4'!G240</f>
        <v>87641103.780000001</v>
      </c>
      <c r="G156" s="28">
        <f>'Приложение 4'!H236+'Приложение 4'!H240</f>
        <v>82330600.650000006</v>
      </c>
      <c r="H156" s="28">
        <f>'Приложение 4'!I236+'Приложение 4'!I240</f>
        <v>85496159.570000008</v>
      </c>
    </row>
    <row r="157" spans="1:8" s="33" customFormat="1" ht="30.75" x14ac:dyDescent="0.25">
      <c r="A157" s="32" t="s">
        <v>54</v>
      </c>
      <c r="B157" s="23" t="s">
        <v>34</v>
      </c>
      <c r="C157" s="23" t="s">
        <v>17</v>
      </c>
      <c r="D157" s="36" t="s">
        <v>89</v>
      </c>
      <c r="E157" s="31">
        <v>600</v>
      </c>
      <c r="F157" s="28">
        <f>'Приложение 4'!G237+'Приложение 4'!G241</f>
        <v>332435954.59000003</v>
      </c>
      <c r="G157" s="28">
        <f>'Приложение 4'!H237+'Приложение 4'!H241</f>
        <v>326014942.70999998</v>
      </c>
      <c r="H157" s="28">
        <f>'Приложение 4'!I237+'Приложение 4'!I241</f>
        <v>331636661.61000001</v>
      </c>
    </row>
    <row r="158" spans="1:8" s="33" customFormat="1" x14ac:dyDescent="0.25">
      <c r="A158" s="32" t="s">
        <v>28</v>
      </c>
      <c r="B158" s="23" t="s">
        <v>34</v>
      </c>
      <c r="C158" s="23" t="s">
        <v>17</v>
      </c>
      <c r="D158" s="36" t="s">
        <v>89</v>
      </c>
      <c r="E158" s="31">
        <v>800</v>
      </c>
      <c r="F158" s="28">
        <f>'Приложение 4'!G238</f>
        <v>7445148</v>
      </c>
      <c r="G158" s="28">
        <f>'Приложение 4'!H238</f>
        <v>7205148</v>
      </c>
      <c r="H158" s="28">
        <f>'Приложение 4'!I238</f>
        <v>7205148</v>
      </c>
    </row>
    <row r="159" spans="1:8" s="33" customFormat="1" ht="31.5" x14ac:dyDescent="0.25">
      <c r="A159" s="34" t="s">
        <v>45</v>
      </c>
      <c r="B159" s="23" t="s">
        <v>34</v>
      </c>
      <c r="C159" s="23" t="s">
        <v>17</v>
      </c>
      <c r="D159" s="35" t="s">
        <v>46</v>
      </c>
      <c r="E159" s="30"/>
      <c r="F159" s="42">
        <f t="shared" ref="F159:H160" si="14">F160</f>
        <v>50000000</v>
      </c>
      <c r="G159" s="42">
        <f t="shared" si="14"/>
        <v>0</v>
      </c>
      <c r="H159" s="42">
        <f t="shared" si="14"/>
        <v>0</v>
      </c>
    </row>
    <row r="160" spans="1:8" s="33" customFormat="1" x14ac:dyDescent="0.25">
      <c r="A160" s="32" t="s">
        <v>144</v>
      </c>
      <c r="B160" s="23" t="s">
        <v>34</v>
      </c>
      <c r="C160" s="23" t="s">
        <v>17</v>
      </c>
      <c r="D160" s="36" t="s">
        <v>47</v>
      </c>
      <c r="E160" s="31"/>
      <c r="F160" s="28">
        <f t="shared" si="14"/>
        <v>50000000</v>
      </c>
      <c r="G160" s="28">
        <f t="shared" si="14"/>
        <v>0</v>
      </c>
      <c r="H160" s="28">
        <f t="shared" si="14"/>
        <v>0</v>
      </c>
    </row>
    <row r="161" spans="1:8" s="33" customFormat="1" ht="30.75" x14ac:dyDescent="0.25">
      <c r="A161" s="32" t="s">
        <v>48</v>
      </c>
      <c r="B161" s="23" t="s">
        <v>34</v>
      </c>
      <c r="C161" s="23" t="s">
        <v>17</v>
      </c>
      <c r="D161" s="36" t="s">
        <v>47</v>
      </c>
      <c r="E161" s="31">
        <v>400</v>
      </c>
      <c r="F161" s="28">
        <f>'Приложение 4'!G245</f>
        <v>50000000</v>
      </c>
      <c r="G161" s="28">
        <f>'Приложение 4'!H245</f>
        <v>0</v>
      </c>
      <c r="H161" s="28">
        <f>'Приложение 4'!I245</f>
        <v>0</v>
      </c>
    </row>
    <row r="162" spans="1:8" s="33" customFormat="1" x14ac:dyDescent="0.25">
      <c r="A162" s="18" t="s">
        <v>18</v>
      </c>
      <c r="B162" s="19" t="s">
        <v>34</v>
      </c>
      <c r="C162" s="19" t="s">
        <v>17</v>
      </c>
      <c r="D162" s="39" t="s">
        <v>19</v>
      </c>
      <c r="E162" s="31"/>
      <c r="F162" s="42">
        <f>F163</f>
        <v>67739680.629999995</v>
      </c>
      <c r="G162" s="42">
        <f>G163</f>
        <v>0</v>
      </c>
      <c r="H162" s="42">
        <f>H163</f>
        <v>0</v>
      </c>
    </row>
    <row r="163" spans="1:8" s="33" customFormat="1" x14ac:dyDescent="0.25">
      <c r="A163" s="22" t="s">
        <v>56</v>
      </c>
      <c r="B163" s="23" t="s">
        <v>34</v>
      </c>
      <c r="C163" s="23" t="s">
        <v>17</v>
      </c>
      <c r="D163" s="40" t="s">
        <v>38</v>
      </c>
      <c r="E163" s="31"/>
      <c r="F163" s="28">
        <f>SUM(F164:F167)</f>
        <v>67739680.629999995</v>
      </c>
      <c r="G163" s="28">
        <f>SUM(G165:G167)</f>
        <v>0</v>
      </c>
      <c r="H163" s="28">
        <f>SUM(H165:H167)</f>
        <v>0</v>
      </c>
    </row>
    <row r="164" spans="1:8" s="33" customFormat="1" ht="75.75" x14ac:dyDescent="0.25">
      <c r="A164" s="22" t="s">
        <v>22</v>
      </c>
      <c r="B164" s="23" t="s">
        <v>34</v>
      </c>
      <c r="C164" s="23" t="s">
        <v>17</v>
      </c>
      <c r="D164" s="40" t="s">
        <v>38</v>
      </c>
      <c r="E164" s="31">
        <v>100</v>
      </c>
      <c r="F164" s="28">
        <f>'Приложение 2'!F159</f>
        <v>500000</v>
      </c>
      <c r="G164" s="28">
        <f>'Приложение 2'!G159</f>
        <v>0</v>
      </c>
      <c r="H164" s="28">
        <f>'Приложение 2'!H159</f>
        <v>0</v>
      </c>
    </row>
    <row r="165" spans="1:8" s="33" customFormat="1" ht="30.75" x14ac:dyDescent="0.25">
      <c r="A165" s="22" t="s">
        <v>26</v>
      </c>
      <c r="B165" s="23" t="s">
        <v>34</v>
      </c>
      <c r="C165" s="23" t="s">
        <v>17</v>
      </c>
      <c r="D165" s="40" t="s">
        <v>38</v>
      </c>
      <c r="E165" s="31">
        <v>200</v>
      </c>
      <c r="F165" s="28">
        <f>'Приложение 2'!F160</f>
        <v>9825840.2799999993</v>
      </c>
      <c r="G165" s="28">
        <f>'Приложение 2'!G160</f>
        <v>0</v>
      </c>
      <c r="H165" s="28">
        <f>'Приложение 2'!H160</f>
        <v>0</v>
      </c>
    </row>
    <row r="166" spans="1:8" s="33" customFormat="1" ht="30.75" x14ac:dyDescent="0.25">
      <c r="A166" s="32" t="s">
        <v>48</v>
      </c>
      <c r="B166" s="23" t="s">
        <v>34</v>
      </c>
      <c r="C166" s="23" t="s">
        <v>17</v>
      </c>
      <c r="D166" s="40" t="s">
        <v>38</v>
      </c>
      <c r="E166" s="31">
        <v>400</v>
      </c>
      <c r="F166" s="28">
        <f>'Приложение 2'!F164</f>
        <v>50000000</v>
      </c>
      <c r="G166" s="28">
        <f>'Приложение 2'!G164</f>
        <v>0</v>
      </c>
      <c r="H166" s="28">
        <f>'Приложение 2'!H164</f>
        <v>0</v>
      </c>
    </row>
    <row r="167" spans="1:8" s="33" customFormat="1" ht="30.75" x14ac:dyDescent="0.25">
      <c r="A167" s="32" t="s">
        <v>54</v>
      </c>
      <c r="B167" s="23" t="s">
        <v>34</v>
      </c>
      <c r="C167" s="23" t="s">
        <v>17</v>
      </c>
      <c r="D167" s="40" t="s">
        <v>38</v>
      </c>
      <c r="E167" s="31">
        <v>600</v>
      </c>
      <c r="F167" s="28">
        <f>'Приложение 2'!F162</f>
        <v>7413840.3499999996</v>
      </c>
      <c r="G167" s="28">
        <f>'Приложение 2'!G162</f>
        <v>0</v>
      </c>
      <c r="H167" s="28">
        <f>'Приложение 2'!H162</f>
        <v>0</v>
      </c>
    </row>
    <row r="168" spans="1:8" s="33" customFormat="1" x14ac:dyDescent="0.25">
      <c r="A168" s="34" t="s">
        <v>94</v>
      </c>
      <c r="B168" s="19" t="s">
        <v>34</v>
      </c>
      <c r="C168" s="19" t="s">
        <v>25</v>
      </c>
      <c r="D168" s="35"/>
      <c r="E168" s="30"/>
      <c r="F168" s="42">
        <f>F169+F176+F181+F185</f>
        <v>258690117.06000003</v>
      </c>
      <c r="G168" s="42">
        <f t="shared" ref="G168:H168" si="15">G169+G176+G181+G185</f>
        <v>237315221.65000001</v>
      </c>
      <c r="H168" s="42">
        <f t="shared" si="15"/>
        <v>239124496.21999997</v>
      </c>
    </row>
    <row r="169" spans="1:8" s="33" customFormat="1" x14ac:dyDescent="0.25">
      <c r="A169" s="34" t="s">
        <v>95</v>
      </c>
      <c r="B169" s="19" t="s">
        <v>34</v>
      </c>
      <c r="C169" s="19" t="s">
        <v>25</v>
      </c>
      <c r="D169" s="35" t="s">
        <v>96</v>
      </c>
      <c r="E169" s="30"/>
      <c r="F169" s="42">
        <f>F172+F170</f>
        <v>122030868.87</v>
      </c>
      <c r="G169" s="42">
        <f>G172+G170</f>
        <v>123179470.81999999</v>
      </c>
      <c r="H169" s="42">
        <f>H172+H170</f>
        <v>123896057.92999999</v>
      </c>
    </row>
    <row r="170" spans="1:8" s="29" customFormat="1" ht="30.75" x14ac:dyDescent="0.25">
      <c r="A170" s="32" t="s">
        <v>210</v>
      </c>
      <c r="B170" s="23" t="s">
        <v>34</v>
      </c>
      <c r="C170" s="23" t="s">
        <v>25</v>
      </c>
      <c r="D170" s="36" t="s">
        <v>109</v>
      </c>
      <c r="E170" s="31"/>
      <c r="F170" s="28">
        <f>F171</f>
        <v>880000</v>
      </c>
      <c r="G170" s="28">
        <f>G171</f>
        <v>909039.99999999988</v>
      </c>
      <c r="H170" s="28">
        <f>H171</f>
        <v>939038.31999999983</v>
      </c>
    </row>
    <row r="171" spans="1:8" s="29" customFormat="1" ht="30.75" x14ac:dyDescent="0.25">
      <c r="A171" s="22" t="s">
        <v>26</v>
      </c>
      <c r="B171" s="23" t="s">
        <v>34</v>
      </c>
      <c r="C171" s="23" t="s">
        <v>25</v>
      </c>
      <c r="D171" s="36" t="s">
        <v>109</v>
      </c>
      <c r="E171" s="31">
        <v>200</v>
      </c>
      <c r="F171" s="28">
        <f>'Приложение 4'!G260</f>
        <v>880000</v>
      </c>
      <c r="G171" s="28">
        <f>'Приложение 4'!H260</f>
        <v>909039.99999999988</v>
      </c>
      <c r="H171" s="28">
        <f>'Приложение 4'!I260</f>
        <v>939038.31999999983</v>
      </c>
    </row>
    <row r="172" spans="1:8" s="33" customFormat="1" x14ac:dyDescent="0.25">
      <c r="A172" s="32" t="s">
        <v>97</v>
      </c>
      <c r="B172" s="23" t="s">
        <v>34</v>
      </c>
      <c r="C172" s="23" t="s">
        <v>25</v>
      </c>
      <c r="D172" s="36" t="s">
        <v>98</v>
      </c>
      <c r="E172" s="31"/>
      <c r="F172" s="28">
        <f>SUM(F173:F175)</f>
        <v>121150868.87</v>
      </c>
      <c r="G172" s="28">
        <f>SUM(G173:G175)</f>
        <v>122270430.81999999</v>
      </c>
      <c r="H172" s="28">
        <f>SUM(H173:H175)</f>
        <v>122957019.61</v>
      </c>
    </row>
    <row r="173" spans="1:8" s="33" customFormat="1" ht="75.75" x14ac:dyDescent="0.25">
      <c r="A173" s="22" t="s">
        <v>22</v>
      </c>
      <c r="B173" s="23" t="s">
        <v>34</v>
      </c>
      <c r="C173" s="23" t="s">
        <v>25</v>
      </c>
      <c r="D173" s="36" t="s">
        <v>98</v>
      </c>
      <c r="E173" s="31">
        <v>100</v>
      </c>
      <c r="F173" s="28">
        <f>'Приложение 4'!G263</f>
        <v>112664408.05</v>
      </c>
      <c r="G173" s="28">
        <f>'Приложение 4'!H263</f>
        <v>112905454.72</v>
      </c>
      <c r="H173" s="28">
        <f>'Приложение 4'!I263</f>
        <v>113145887.81</v>
      </c>
    </row>
    <row r="174" spans="1:8" s="33" customFormat="1" ht="30.75" x14ac:dyDescent="0.25">
      <c r="A174" s="22" t="s">
        <v>26</v>
      </c>
      <c r="B174" s="23" t="s">
        <v>34</v>
      </c>
      <c r="C174" s="23" t="s">
        <v>25</v>
      </c>
      <c r="D174" s="36" t="s">
        <v>98</v>
      </c>
      <c r="E174" s="31">
        <v>200</v>
      </c>
      <c r="F174" s="28">
        <f>'Приложение 4'!G264</f>
        <v>8364034.2300000004</v>
      </c>
      <c r="G174" s="28">
        <f>'Приложение 4'!H264</f>
        <v>9364976.0999999996</v>
      </c>
      <c r="H174" s="28">
        <f>'Приложение 4'!I264</f>
        <v>9811131.8000000007</v>
      </c>
    </row>
    <row r="175" spans="1:8" s="33" customFormat="1" x14ac:dyDescent="0.25">
      <c r="A175" s="32" t="s">
        <v>28</v>
      </c>
      <c r="B175" s="23" t="s">
        <v>34</v>
      </c>
      <c r="C175" s="23" t="s">
        <v>25</v>
      </c>
      <c r="D175" s="36" t="s">
        <v>98</v>
      </c>
      <c r="E175" s="31">
        <v>800</v>
      </c>
      <c r="F175" s="28">
        <f>'Приложение 4'!G265</f>
        <v>122426.59</v>
      </c>
      <c r="G175" s="28">
        <f>'Приложение 4'!H265</f>
        <v>0</v>
      </c>
      <c r="H175" s="28">
        <f>'Приложение 4'!I265</f>
        <v>0</v>
      </c>
    </row>
    <row r="176" spans="1:8" s="33" customFormat="1" x14ac:dyDescent="0.25">
      <c r="A176" s="34" t="s">
        <v>87</v>
      </c>
      <c r="B176" s="19" t="s">
        <v>34</v>
      </c>
      <c r="C176" s="19" t="s">
        <v>25</v>
      </c>
      <c r="D176" s="35" t="s">
        <v>88</v>
      </c>
      <c r="E176" s="30"/>
      <c r="F176" s="42">
        <f>F177</f>
        <v>113412970.05000001</v>
      </c>
      <c r="G176" s="42">
        <f>G177</f>
        <v>114135750.83000001</v>
      </c>
      <c r="H176" s="42">
        <f>H177</f>
        <v>115228438.28999999</v>
      </c>
    </row>
    <row r="177" spans="1:11" s="29" customFormat="1" x14ac:dyDescent="0.25">
      <c r="A177" s="235" t="s">
        <v>50</v>
      </c>
      <c r="B177" s="23" t="s">
        <v>34</v>
      </c>
      <c r="C177" s="23" t="s">
        <v>25</v>
      </c>
      <c r="D177" s="36" t="s">
        <v>89</v>
      </c>
      <c r="E177" s="31"/>
      <c r="F177" s="24">
        <f>SUM(F178:F180)</f>
        <v>113412970.05000001</v>
      </c>
      <c r="G177" s="24">
        <f t="shared" ref="G177:H177" si="16">SUM(G178:G180)</f>
        <v>114135750.83000001</v>
      </c>
      <c r="H177" s="24">
        <f t="shared" si="16"/>
        <v>115228438.28999999</v>
      </c>
    </row>
    <row r="178" spans="1:11" s="33" customFormat="1" ht="75.75" x14ac:dyDescent="0.25">
      <c r="A178" s="22" t="s">
        <v>22</v>
      </c>
      <c r="B178" s="23" t="s">
        <v>34</v>
      </c>
      <c r="C178" s="23" t="s">
        <v>25</v>
      </c>
      <c r="D178" s="36" t="s">
        <v>89</v>
      </c>
      <c r="E178" s="31">
        <v>100</v>
      </c>
      <c r="F178" s="28">
        <f>'Приложение 4'!G269</f>
        <v>98652983.150000006</v>
      </c>
      <c r="G178" s="28">
        <f>'Приложение 4'!H269</f>
        <v>99131364.510000005</v>
      </c>
      <c r="H178" s="28">
        <f>'Приложение 4'!I269</f>
        <v>99631364.519999996</v>
      </c>
    </row>
    <row r="179" spans="1:11" s="33" customFormat="1" ht="30.75" x14ac:dyDescent="0.25">
      <c r="A179" s="22" t="s">
        <v>26</v>
      </c>
      <c r="B179" s="23" t="s">
        <v>34</v>
      </c>
      <c r="C179" s="23" t="s">
        <v>25</v>
      </c>
      <c r="D179" s="36" t="s">
        <v>89</v>
      </c>
      <c r="E179" s="31">
        <v>200</v>
      </c>
      <c r="F179" s="28">
        <f>'Приложение 4'!G270</f>
        <v>14757379.93</v>
      </c>
      <c r="G179" s="28">
        <f>'Приложение 4'!H270</f>
        <v>15004386.32</v>
      </c>
      <c r="H179" s="28">
        <f>'Приложение 4'!I270</f>
        <v>15597073.77</v>
      </c>
    </row>
    <row r="180" spans="1:11" s="33" customFormat="1" x14ac:dyDescent="0.25">
      <c r="A180" s="22" t="s">
        <v>52</v>
      </c>
      <c r="B180" s="23" t="s">
        <v>34</v>
      </c>
      <c r="C180" s="23" t="s">
        <v>25</v>
      </c>
      <c r="D180" s="36" t="s">
        <v>89</v>
      </c>
      <c r="E180" s="31">
        <v>300</v>
      </c>
      <c r="F180" s="28">
        <f>'Приложение 4'!G271</f>
        <v>2606.9699999999998</v>
      </c>
      <c r="G180" s="28">
        <f>'Приложение 4'!H271</f>
        <v>0</v>
      </c>
      <c r="H180" s="28">
        <f>'Приложение 4'!I271</f>
        <v>0</v>
      </c>
    </row>
    <row r="181" spans="1:11" s="33" customFormat="1" ht="31.5" x14ac:dyDescent="0.25">
      <c r="A181" s="34" t="s">
        <v>45</v>
      </c>
      <c r="B181" s="23" t="s">
        <v>34</v>
      </c>
      <c r="C181" s="23" t="s">
        <v>25</v>
      </c>
      <c r="D181" s="35" t="s">
        <v>46</v>
      </c>
      <c r="E181" s="31"/>
      <c r="F181" s="42">
        <f>F182</f>
        <v>1445089.65</v>
      </c>
      <c r="G181" s="42">
        <f>G182</f>
        <v>0</v>
      </c>
      <c r="H181" s="42">
        <f>H182</f>
        <v>0</v>
      </c>
    </row>
    <row r="182" spans="1:11" s="33" customFormat="1" x14ac:dyDescent="0.25">
      <c r="A182" s="32" t="s">
        <v>43</v>
      </c>
      <c r="B182" s="23" t="s">
        <v>34</v>
      </c>
      <c r="C182" s="23" t="s">
        <v>25</v>
      </c>
      <c r="D182" s="36" t="s">
        <v>47</v>
      </c>
      <c r="E182" s="31"/>
      <c r="F182" s="28">
        <f>SUM(F183:F184)</f>
        <v>1445089.65</v>
      </c>
      <c r="G182" s="28">
        <f>SUM(G183:G184)</f>
        <v>0</v>
      </c>
      <c r="H182" s="28">
        <f>SUM(H183:H184)</f>
        <v>0</v>
      </c>
    </row>
    <row r="183" spans="1:11" s="33" customFormat="1" ht="30.75" hidden="1" x14ac:dyDescent="0.25">
      <c r="A183" s="22" t="s">
        <v>26</v>
      </c>
      <c r="B183" s="23" t="s">
        <v>34</v>
      </c>
      <c r="C183" s="23" t="s">
        <v>25</v>
      </c>
      <c r="D183" s="36" t="s">
        <v>47</v>
      </c>
      <c r="E183" s="31">
        <v>200</v>
      </c>
      <c r="F183" s="28">
        <v>0</v>
      </c>
      <c r="G183" s="28">
        <v>0</v>
      </c>
      <c r="H183" s="42"/>
    </row>
    <row r="184" spans="1:11" s="33" customFormat="1" ht="30.75" x14ac:dyDescent="0.25">
      <c r="A184" s="32" t="s">
        <v>48</v>
      </c>
      <c r="B184" s="23" t="s">
        <v>34</v>
      </c>
      <c r="C184" s="23" t="s">
        <v>25</v>
      </c>
      <c r="D184" s="36" t="s">
        <v>47</v>
      </c>
      <c r="E184" s="31">
        <v>400</v>
      </c>
      <c r="F184" s="28">
        <f>'Приложение 4'!G275</f>
        <v>1445089.65</v>
      </c>
      <c r="G184" s="28">
        <f>'Приложение 4'!H275</f>
        <v>0</v>
      </c>
      <c r="H184" s="28">
        <f>'Приложение 4'!I275</f>
        <v>0</v>
      </c>
    </row>
    <row r="185" spans="1:11" s="33" customFormat="1" x14ac:dyDescent="0.25">
      <c r="A185" s="34" t="s">
        <v>18</v>
      </c>
      <c r="B185" s="19" t="s">
        <v>34</v>
      </c>
      <c r="C185" s="19" t="s">
        <v>25</v>
      </c>
      <c r="D185" s="35" t="s">
        <v>19</v>
      </c>
      <c r="E185" s="30"/>
      <c r="F185" s="42">
        <f>F186</f>
        <v>21801188.489999998</v>
      </c>
      <c r="G185" s="42">
        <f t="shared" ref="G185:H186" si="17">G186</f>
        <v>0</v>
      </c>
      <c r="H185" s="42">
        <f t="shared" si="17"/>
        <v>0</v>
      </c>
    </row>
    <row r="186" spans="1:11" s="33" customFormat="1" x14ac:dyDescent="0.25">
      <c r="A186" s="32" t="s">
        <v>56</v>
      </c>
      <c r="B186" s="23" t="s">
        <v>34</v>
      </c>
      <c r="C186" s="23" t="s">
        <v>25</v>
      </c>
      <c r="D186" s="36" t="s">
        <v>38</v>
      </c>
      <c r="E186" s="31"/>
      <c r="F186" s="28">
        <f>F187</f>
        <v>21801188.489999998</v>
      </c>
      <c r="G186" s="28">
        <f t="shared" si="17"/>
        <v>0</v>
      </c>
      <c r="H186" s="28">
        <f t="shared" si="17"/>
        <v>0</v>
      </c>
    </row>
    <row r="187" spans="1:11" s="33" customFormat="1" ht="30.75" x14ac:dyDescent="0.25">
      <c r="A187" s="32" t="s">
        <v>26</v>
      </c>
      <c r="B187" s="23" t="s">
        <v>34</v>
      </c>
      <c r="C187" s="23" t="s">
        <v>25</v>
      </c>
      <c r="D187" s="36" t="s">
        <v>38</v>
      </c>
      <c r="E187" s="31">
        <v>200</v>
      </c>
      <c r="F187" s="28">
        <f>'Приложение 2'!F169</f>
        <v>21801188.489999998</v>
      </c>
      <c r="G187" s="28">
        <f>'Приложение 2'!G169</f>
        <v>0</v>
      </c>
      <c r="H187" s="28">
        <f>'Приложение 2'!H169</f>
        <v>0</v>
      </c>
    </row>
    <row r="188" spans="1:11" s="33" customFormat="1" ht="31.5" x14ac:dyDescent="0.25">
      <c r="A188" s="18" t="s">
        <v>536</v>
      </c>
      <c r="B188" s="19" t="s">
        <v>34</v>
      </c>
      <c r="C188" s="19" t="s">
        <v>63</v>
      </c>
      <c r="D188" s="39"/>
      <c r="E188" s="31"/>
      <c r="F188" s="42">
        <f>F189+F192+F195+F198+F202+F205+F208</f>
        <v>4929224.01</v>
      </c>
      <c r="G188" s="42">
        <f>G189+G192+G195+G198+G202+G205+G208</f>
        <v>4597115.7699999996</v>
      </c>
      <c r="H188" s="42">
        <f>H189+H192+H195+H198+H202+H205+H208</f>
        <v>4754320.9000000004</v>
      </c>
    </row>
    <row r="189" spans="1:11" s="33" customFormat="1" x14ac:dyDescent="0.25">
      <c r="A189" s="34" t="s">
        <v>95</v>
      </c>
      <c r="B189" s="19" t="s">
        <v>34</v>
      </c>
      <c r="C189" s="19" t="s">
        <v>63</v>
      </c>
      <c r="D189" s="35" t="s">
        <v>96</v>
      </c>
      <c r="E189" s="31"/>
      <c r="F189" s="42">
        <f t="shared" ref="F189:H190" si="18">F190</f>
        <v>342000</v>
      </c>
      <c r="G189" s="42">
        <f t="shared" si="18"/>
        <v>360810</v>
      </c>
      <c r="H189" s="42">
        <f t="shared" si="18"/>
        <v>379572.12</v>
      </c>
    </row>
    <row r="190" spans="1:11" s="33" customFormat="1" x14ac:dyDescent="0.25">
      <c r="A190" s="32" t="s">
        <v>50</v>
      </c>
      <c r="B190" s="23" t="s">
        <v>34</v>
      </c>
      <c r="C190" s="23" t="s">
        <v>63</v>
      </c>
      <c r="D190" s="36" t="s">
        <v>98</v>
      </c>
      <c r="E190" s="31"/>
      <c r="F190" s="28">
        <f t="shared" si="18"/>
        <v>342000</v>
      </c>
      <c r="G190" s="28">
        <f t="shared" si="18"/>
        <v>360810</v>
      </c>
      <c r="H190" s="28">
        <f t="shared" si="18"/>
        <v>379572.12</v>
      </c>
    </row>
    <row r="191" spans="1:11" s="33" customFormat="1" ht="30.75" x14ac:dyDescent="0.25">
      <c r="A191" s="22" t="s">
        <v>26</v>
      </c>
      <c r="B191" s="23" t="s">
        <v>34</v>
      </c>
      <c r="C191" s="23" t="s">
        <v>63</v>
      </c>
      <c r="D191" s="36" t="s">
        <v>98</v>
      </c>
      <c r="E191" s="31">
        <v>200</v>
      </c>
      <c r="F191" s="28">
        <f>'Приложение 4'!G284+'Приложение 4'!G286+'Приложение 4'!G288</f>
        <v>342000</v>
      </c>
      <c r="G191" s="28">
        <f>'Приложение 4'!H284+'Приложение 4'!H286+'Приложение 4'!H288</f>
        <v>360810</v>
      </c>
      <c r="H191" s="28">
        <f>'Приложение 4'!I284+'Приложение 4'!I286+'Приложение 4'!I288</f>
        <v>379572.12</v>
      </c>
      <c r="I191" s="257"/>
      <c r="J191" s="257"/>
      <c r="K191" s="257"/>
    </row>
    <row r="192" spans="1:11" s="33" customFormat="1" ht="47.25" x14ac:dyDescent="0.25">
      <c r="A192" s="34" t="s">
        <v>100</v>
      </c>
      <c r="B192" s="19" t="s">
        <v>34</v>
      </c>
      <c r="C192" s="19" t="s">
        <v>63</v>
      </c>
      <c r="D192" s="35" t="s">
        <v>101</v>
      </c>
      <c r="E192" s="31"/>
      <c r="F192" s="42">
        <f t="shared" ref="F192:H193" si="19">F193</f>
        <v>144000</v>
      </c>
      <c r="G192" s="42">
        <f t="shared" si="19"/>
        <v>149760</v>
      </c>
      <c r="H192" s="42">
        <f t="shared" si="19"/>
        <v>155750.39999999999</v>
      </c>
    </row>
    <row r="193" spans="1:11" s="29" customFormat="1" x14ac:dyDescent="0.25">
      <c r="A193" s="105" t="s">
        <v>50</v>
      </c>
      <c r="B193" s="23" t="s">
        <v>34</v>
      </c>
      <c r="C193" s="23" t="s">
        <v>63</v>
      </c>
      <c r="D193" s="23" t="s">
        <v>103</v>
      </c>
      <c r="E193" s="31"/>
      <c r="F193" s="28">
        <f t="shared" si="19"/>
        <v>144000</v>
      </c>
      <c r="G193" s="28">
        <f t="shared" si="19"/>
        <v>149760</v>
      </c>
      <c r="H193" s="28">
        <f t="shared" si="19"/>
        <v>155750.39999999999</v>
      </c>
    </row>
    <row r="194" spans="1:11" s="29" customFormat="1" ht="30.75" x14ac:dyDescent="0.25">
      <c r="A194" s="22" t="s">
        <v>26</v>
      </c>
      <c r="B194" s="23" t="s">
        <v>34</v>
      </c>
      <c r="C194" s="23" t="s">
        <v>63</v>
      </c>
      <c r="D194" s="40" t="s">
        <v>103</v>
      </c>
      <c r="E194" s="31">
        <v>200</v>
      </c>
      <c r="F194" s="28">
        <f>'Приложение 4'!G292</f>
        <v>144000</v>
      </c>
      <c r="G194" s="28">
        <f>'Приложение 4'!H292</f>
        <v>149760</v>
      </c>
      <c r="H194" s="28">
        <f>'Приложение 4'!I292</f>
        <v>155750.39999999999</v>
      </c>
      <c r="I194" s="258"/>
      <c r="J194" s="258"/>
      <c r="K194" s="258"/>
    </row>
    <row r="195" spans="1:11" s="33" customFormat="1" ht="31.5" x14ac:dyDescent="0.25">
      <c r="A195" s="18" t="s">
        <v>134</v>
      </c>
      <c r="B195" s="19" t="s">
        <v>34</v>
      </c>
      <c r="C195" s="19" t="s">
        <v>63</v>
      </c>
      <c r="D195" s="19" t="s">
        <v>135</v>
      </c>
      <c r="E195" s="30"/>
      <c r="F195" s="42">
        <f t="shared" ref="F195:H196" si="20">F196</f>
        <v>273114.02</v>
      </c>
      <c r="G195" s="42">
        <f t="shared" si="20"/>
        <v>39366.29</v>
      </c>
      <c r="H195" s="42">
        <f t="shared" si="20"/>
        <v>41413.339999999997</v>
      </c>
      <c r="I195" s="257"/>
      <c r="J195" s="257"/>
      <c r="K195" s="257"/>
    </row>
    <row r="196" spans="1:11" s="29" customFormat="1" x14ac:dyDescent="0.25">
      <c r="A196" s="22" t="s">
        <v>50</v>
      </c>
      <c r="B196" s="23" t="s">
        <v>34</v>
      </c>
      <c r="C196" s="23" t="s">
        <v>63</v>
      </c>
      <c r="D196" s="23" t="s">
        <v>137</v>
      </c>
      <c r="E196" s="31"/>
      <c r="F196" s="28">
        <f t="shared" si="20"/>
        <v>273114.02</v>
      </c>
      <c r="G196" s="28">
        <f t="shared" si="20"/>
        <v>39366.29</v>
      </c>
      <c r="H196" s="28">
        <f t="shared" si="20"/>
        <v>41413.339999999997</v>
      </c>
      <c r="I196" s="258"/>
      <c r="J196" s="258"/>
      <c r="K196" s="258"/>
    </row>
    <row r="197" spans="1:11" s="29" customFormat="1" ht="30.75" x14ac:dyDescent="0.25">
      <c r="A197" s="22" t="s">
        <v>26</v>
      </c>
      <c r="B197" s="23" t="s">
        <v>34</v>
      </c>
      <c r="C197" s="23" t="s">
        <v>63</v>
      </c>
      <c r="D197" s="40" t="s">
        <v>137</v>
      </c>
      <c r="E197" s="31">
        <v>200</v>
      </c>
      <c r="F197" s="28">
        <f>'Приложение 4'!G296</f>
        <v>273114.02</v>
      </c>
      <c r="G197" s="28">
        <f>'Приложение 4'!H296</f>
        <v>39366.29</v>
      </c>
      <c r="H197" s="28">
        <f>'Приложение 4'!I296</f>
        <v>41413.339999999997</v>
      </c>
      <c r="I197" s="258"/>
      <c r="J197" s="258"/>
      <c r="K197" s="258"/>
    </row>
    <row r="198" spans="1:11" s="29" customFormat="1" x14ac:dyDescent="0.25">
      <c r="A198" s="34" t="s">
        <v>87</v>
      </c>
      <c r="B198" s="19" t="s">
        <v>34</v>
      </c>
      <c r="C198" s="19" t="s">
        <v>63</v>
      </c>
      <c r="D198" s="35" t="s">
        <v>88</v>
      </c>
      <c r="E198" s="30"/>
      <c r="F198" s="42">
        <f>F199</f>
        <v>1636537.68</v>
      </c>
      <c r="G198" s="42">
        <f>G199</f>
        <v>1440644.85</v>
      </c>
      <c r="H198" s="42">
        <f>H199</f>
        <v>1498271.1199999999</v>
      </c>
      <c r="I198" s="258"/>
      <c r="J198" s="258"/>
      <c r="K198" s="258"/>
    </row>
    <row r="199" spans="1:11" s="29" customFormat="1" x14ac:dyDescent="0.25">
      <c r="A199" s="235" t="s">
        <v>50</v>
      </c>
      <c r="B199" s="23" t="s">
        <v>34</v>
      </c>
      <c r="C199" s="23" t="s">
        <v>63</v>
      </c>
      <c r="D199" s="36" t="s">
        <v>89</v>
      </c>
      <c r="E199" s="31"/>
      <c r="F199" s="28">
        <f>F200+F201</f>
        <v>1636537.68</v>
      </c>
      <c r="G199" s="28">
        <f>G200+G201</f>
        <v>1440644.85</v>
      </c>
      <c r="H199" s="28">
        <f>H200+H201</f>
        <v>1498271.1199999999</v>
      </c>
      <c r="I199" s="258"/>
      <c r="J199" s="258"/>
      <c r="K199" s="258"/>
    </row>
    <row r="200" spans="1:11" s="29" customFormat="1" ht="30.75" x14ac:dyDescent="0.25">
      <c r="A200" s="22" t="s">
        <v>26</v>
      </c>
      <c r="B200" s="23" t="s">
        <v>34</v>
      </c>
      <c r="C200" s="23" t="s">
        <v>63</v>
      </c>
      <c r="D200" s="36" t="s">
        <v>89</v>
      </c>
      <c r="E200" s="31">
        <v>200</v>
      </c>
      <c r="F200" s="28">
        <f>'Приложение 4'!G300+'Приложение 4'!G302+'Приложение 4'!G305+'Приложение 4'!G307</f>
        <v>1454337.68</v>
      </c>
      <c r="G200" s="28">
        <f>'Приложение 4'!H300+'Приложение 4'!H302+'Приложение 4'!H305+'Приложение 4'!H307</f>
        <v>1251156.8500000001</v>
      </c>
      <c r="H200" s="28">
        <f>'Приложение 4'!I300+'Приложение 4'!I302+'Приложение 4'!I305+'Приложение 4'!I307</f>
        <v>1301204.1599999999</v>
      </c>
      <c r="I200" s="258"/>
      <c r="J200" s="258"/>
      <c r="K200" s="258"/>
    </row>
    <row r="201" spans="1:11" s="29" customFormat="1" ht="30.75" x14ac:dyDescent="0.25">
      <c r="A201" s="32" t="s">
        <v>54</v>
      </c>
      <c r="B201" s="23" t="s">
        <v>34</v>
      </c>
      <c r="C201" s="23" t="s">
        <v>63</v>
      </c>
      <c r="D201" s="36" t="s">
        <v>89</v>
      </c>
      <c r="E201" s="31">
        <v>600</v>
      </c>
      <c r="F201" s="28">
        <f>'Приложение 4'!G303</f>
        <v>182200</v>
      </c>
      <c r="G201" s="28">
        <f>'Приложение 4'!H303</f>
        <v>189488</v>
      </c>
      <c r="H201" s="28">
        <f>'Приложение 4'!I303</f>
        <v>197066.96</v>
      </c>
      <c r="I201" s="258"/>
      <c r="J201" s="258"/>
      <c r="K201" s="258"/>
    </row>
    <row r="202" spans="1:11" s="29" customFormat="1" ht="63" x14ac:dyDescent="0.25">
      <c r="A202" s="18" t="s">
        <v>64</v>
      </c>
      <c r="B202" s="19" t="s">
        <v>34</v>
      </c>
      <c r="C202" s="19" t="s">
        <v>63</v>
      </c>
      <c r="D202" s="19" t="s">
        <v>65</v>
      </c>
      <c r="E202" s="31"/>
      <c r="F202" s="42">
        <f t="shared" ref="F202:H203" si="21">F203</f>
        <v>50351.31</v>
      </c>
      <c r="G202" s="42">
        <f t="shared" si="21"/>
        <v>53120.63</v>
      </c>
      <c r="H202" s="42">
        <f t="shared" si="21"/>
        <v>55882.9</v>
      </c>
      <c r="I202" s="258"/>
      <c r="J202" s="258"/>
      <c r="K202" s="258"/>
    </row>
    <row r="203" spans="1:11" s="29" customFormat="1" x14ac:dyDescent="0.25">
      <c r="A203" s="22" t="s">
        <v>50</v>
      </c>
      <c r="B203" s="23" t="s">
        <v>34</v>
      </c>
      <c r="C203" s="23" t="s">
        <v>63</v>
      </c>
      <c r="D203" s="23" t="s">
        <v>67</v>
      </c>
      <c r="E203" s="31"/>
      <c r="F203" s="28">
        <f t="shared" si="21"/>
        <v>50351.31</v>
      </c>
      <c r="G203" s="28">
        <f t="shared" si="21"/>
        <v>53120.63</v>
      </c>
      <c r="H203" s="28">
        <f t="shared" si="21"/>
        <v>55882.9</v>
      </c>
      <c r="I203" s="258"/>
      <c r="J203" s="258"/>
      <c r="K203" s="258"/>
    </row>
    <row r="204" spans="1:11" s="29" customFormat="1" ht="30.75" x14ac:dyDescent="0.25">
      <c r="A204" s="22" t="s">
        <v>26</v>
      </c>
      <c r="B204" s="23" t="s">
        <v>34</v>
      </c>
      <c r="C204" s="23" t="s">
        <v>63</v>
      </c>
      <c r="D204" s="36" t="s">
        <v>67</v>
      </c>
      <c r="E204" s="31">
        <v>200</v>
      </c>
      <c r="F204" s="28">
        <f>'Приложение 4'!G311</f>
        <v>50351.31</v>
      </c>
      <c r="G204" s="28">
        <f>'Приложение 4'!H311</f>
        <v>53120.63</v>
      </c>
      <c r="H204" s="28">
        <f>'Приложение 4'!I311</f>
        <v>55882.9</v>
      </c>
      <c r="I204" s="258"/>
      <c r="J204" s="258"/>
      <c r="K204" s="258"/>
    </row>
    <row r="205" spans="1:11" s="29" customFormat="1" ht="31.5" x14ac:dyDescent="0.25">
      <c r="A205" s="18" t="s">
        <v>45</v>
      </c>
      <c r="B205" s="19" t="s">
        <v>34</v>
      </c>
      <c r="C205" s="19" t="s">
        <v>63</v>
      </c>
      <c r="D205" s="19" t="s">
        <v>46</v>
      </c>
      <c r="E205" s="30"/>
      <c r="F205" s="42">
        <f t="shared" ref="F205:H206" si="22">F206</f>
        <v>223250</v>
      </c>
      <c r="G205" s="42">
        <f t="shared" si="22"/>
        <v>223250</v>
      </c>
      <c r="H205" s="42">
        <f t="shared" si="22"/>
        <v>223250</v>
      </c>
      <c r="I205" s="258"/>
      <c r="J205" s="258"/>
      <c r="K205" s="258"/>
    </row>
    <row r="206" spans="1:11" s="29" customFormat="1" x14ac:dyDescent="0.25">
      <c r="A206" s="22" t="s">
        <v>50</v>
      </c>
      <c r="B206" s="23" t="s">
        <v>34</v>
      </c>
      <c r="C206" s="23" t="s">
        <v>63</v>
      </c>
      <c r="D206" s="36" t="s">
        <v>51</v>
      </c>
      <c r="E206" s="31"/>
      <c r="F206" s="28">
        <f t="shared" si="22"/>
        <v>223250</v>
      </c>
      <c r="G206" s="28">
        <f t="shared" si="22"/>
        <v>223250</v>
      </c>
      <c r="H206" s="28">
        <f t="shared" si="22"/>
        <v>223250</v>
      </c>
      <c r="I206" s="258"/>
      <c r="J206" s="258"/>
      <c r="K206" s="258"/>
    </row>
    <row r="207" spans="1:11" s="33" customFormat="1" ht="30.75" x14ac:dyDescent="0.25">
      <c r="A207" s="22" t="s">
        <v>26</v>
      </c>
      <c r="B207" s="23" t="s">
        <v>34</v>
      </c>
      <c r="C207" s="23" t="s">
        <v>63</v>
      </c>
      <c r="D207" s="40" t="s">
        <v>51</v>
      </c>
      <c r="E207" s="31">
        <v>200</v>
      </c>
      <c r="F207" s="28">
        <f>'Приложение 4'!G315</f>
        <v>223250</v>
      </c>
      <c r="G207" s="28">
        <f>'Приложение 4'!H315</f>
        <v>223250</v>
      </c>
      <c r="H207" s="28">
        <f>'Приложение 4'!I315</f>
        <v>223250</v>
      </c>
      <c r="I207" s="257"/>
      <c r="J207" s="257"/>
      <c r="K207" s="257"/>
    </row>
    <row r="208" spans="1:11" s="33" customFormat="1" x14ac:dyDescent="0.25">
      <c r="A208" s="18" t="s">
        <v>18</v>
      </c>
      <c r="B208" s="19" t="s">
        <v>34</v>
      </c>
      <c r="C208" s="19" t="s">
        <v>63</v>
      </c>
      <c r="D208" s="39" t="s">
        <v>19</v>
      </c>
      <c r="E208" s="31"/>
      <c r="F208" s="42">
        <f t="shared" ref="F208:H209" si="23">F209</f>
        <v>2259971</v>
      </c>
      <c r="G208" s="42">
        <f t="shared" si="23"/>
        <v>2330164</v>
      </c>
      <c r="H208" s="42">
        <f t="shared" si="23"/>
        <v>2400181.02</v>
      </c>
    </row>
    <row r="209" spans="1:9" s="33" customFormat="1" ht="30.75" x14ac:dyDescent="0.25">
      <c r="A209" s="22" t="s">
        <v>220</v>
      </c>
      <c r="B209" s="23" t="s">
        <v>34</v>
      </c>
      <c r="C209" s="23" t="s">
        <v>63</v>
      </c>
      <c r="D209" s="31">
        <v>9910000000</v>
      </c>
      <c r="E209" s="31"/>
      <c r="F209" s="28">
        <f t="shared" si="23"/>
        <v>2259971</v>
      </c>
      <c r="G209" s="28">
        <f t="shared" si="23"/>
        <v>2330164</v>
      </c>
      <c r="H209" s="28">
        <f t="shared" si="23"/>
        <v>2400181.02</v>
      </c>
    </row>
    <row r="210" spans="1:9" s="33" customFormat="1" ht="30.75" x14ac:dyDescent="0.25">
      <c r="A210" s="22" t="s">
        <v>26</v>
      </c>
      <c r="B210" s="23" t="s">
        <v>34</v>
      </c>
      <c r="C210" s="23" t="s">
        <v>63</v>
      </c>
      <c r="D210" s="101" t="s">
        <v>160</v>
      </c>
      <c r="E210" s="102" t="s">
        <v>27</v>
      </c>
      <c r="F210" s="28">
        <f>'Приложение 2'!F174+'Приложение 2'!F176+'Приложение 2'!F178</f>
        <v>2259971</v>
      </c>
      <c r="G210" s="28">
        <f>'Приложение 2'!G174+'Приложение 2'!G176+'Приложение 2'!G178</f>
        <v>2330164</v>
      </c>
      <c r="H210" s="28">
        <f>'Приложение 2'!H174+'Приложение 2'!H176+'Приложение 2'!H178</f>
        <v>2400181.02</v>
      </c>
    </row>
    <row r="211" spans="1:9" s="33" customFormat="1" x14ac:dyDescent="0.25">
      <c r="A211" s="34" t="s">
        <v>99</v>
      </c>
      <c r="B211" s="19" t="s">
        <v>34</v>
      </c>
      <c r="C211" s="19" t="s">
        <v>34</v>
      </c>
      <c r="D211" s="30"/>
      <c r="E211" s="30"/>
      <c r="F211" s="20">
        <f>F212</f>
        <v>42519868.369999997</v>
      </c>
      <c r="G211" s="20">
        <f>G212</f>
        <v>34558557.584399998</v>
      </c>
      <c r="H211" s="20">
        <f>H212</f>
        <v>34985334.340800002</v>
      </c>
    </row>
    <row r="212" spans="1:9" s="33" customFormat="1" ht="47.25" x14ac:dyDescent="0.25">
      <c r="A212" s="34" t="s">
        <v>100</v>
      </c>
      <c r="B212" s="19" t="s">
        <v>34</v>
      </c>
      <c r="C212" s="19" t="s">
        <v>34</v>
      </c>
      <c r="D212" s="35" t="s">
        <v>101</v>
      </c>
      <c r="E212" s="30"/>
      <c r="F212" s="20">
        <f>F213+F223</f>
        <v>42519868.369999997</v>
      </c>
      <c r="G212" s="20">
        <f>G213+G223</f>
        <v>34558557.584399998</v>
      </c>
      <c r="H212" s="20">
        <f>H213+H223</f>
        <v>34985334.340800002</v>
      </c>
    </row>
    <row r="213" spans="1:9" s="43" customFormat="1" ht="15" x14ac:dyDescent="0.2">
      <c r="A213" s="32" t="s">
        <v>43</v>
      </c>
      <c r="B213" s="23" t="s">
        <v>34</v>
      </c>
      <c r="C213" s="23" t="s">
        <v>34</v>
      </c>
      <c r="D213" s="36" t="s">
        <v>102</v>
      </c>
      <c r="E213" s="31"/>
      <c r="F213" s="24">
        <f>F214+F218+F221</f>
        <v>20173974.460000001</v>
      </c>
      <c r="G213" s="24">
        <f>G214+G218+G221</f>
        <v>15543757.794400001</v>
      </c>
      <c r="H213" s="24">
        <f>H214+H218+H221</f>
        <v>16293838.580799999</v>
      </c>
    </row>
    <row r="214" spans="1:9" s="43" customFormat="1" ht="45" x14ac:dyDescent="0.2">
      <c r="A214" s="32" t="s">
        <v>148</v>
      </c>
      <c r="B214" s="23" t="s">
        <v>34</v>
      </c>
      <c r="C214" s="23" t="s">
        <v>34</v>
      </c>
      <c r="D214" s="36" t="s">
        <v>102</v>
      </c>
      <c r="E214" s="31"/>
      <c r="F214" s="24">
        <f>SUM(F215:F217)</f>
        <v>18308961.460000001</v>
      </c>
      <c r="G214" s="24">
        <f>SUM(G215:G217)</f>
        <v>13604144.274400001</v>
      </c>
      <c r="H214" s="24">
        <f>SUM(H215:H217)</f>
        <v>14276640.52</v>
      </c>
    </row>
    <row r="215" spans="1:9" s="43" customFormat="1" ht="75" x14ac:dyDescent="0.2">
      <c r="A215" s="32" t="s">
        <v>22</v>
      </c>
      <c r="B215" s="23" t="s">
        <v>34</v>
      </c>
      <c r="C215" s="23" t="s">
        <v>34</v>
      </c>
      <c r="D215" s="36" t="s">
        <v>102</v>
      </c>
      <c r="E215" s="31">
        <v>100</v>
      </c>
      <c r="F215" s="151">
        <f>'Приложение 4'!G336</f>
        <v>1082761</v>
      </c>
      <c r="G215" s="151">
        <f>'Приложение 4'!H336</f>
        <v>1126071.44</v>
      </c>
      <c r="H215" s="151">
        <f>'Приложение 4'!I336</f>
        <v>1171114.3</v>
      </c>
    </row>
    <row r="216" spans="1:9" s="43" customFormat="1" ht="30" x14ac:dyDescent="0.2">
      <c r="A216" s="22" t="s">
        <v>26</v>
      </c>
      <c r="B216" s="23" t="s">
        <v>34</v>
      </c>
      <c r="C216" s="23" t="s">
        <v>34</v>
      </c>
      <c r="D216" s="36" t="s">
        <v>102</v>
      </c>
      <c r="E216" s="31">
        <v>200</v>
      </c>
      <c r="F216" s="24">
        <f>'Приложение 4'!G329+'Приложение 4'!G332+'Приложение 4'!G337+'Приложение 4'!G339</f>
        <v>3699188.83</v>
      </c>
      <c r="G216" s="24">
        <f>'Приложение 4'!H329+'Приложение 4'!H332+'Приложение 4'!H337+'Приложение 4'!H339</f>
        <v>3700099.3744000001</v>
      </c>
      <c r="H216" s="24">
        <f>'Приложение 4'!I329+'Приложение 4'!I332+'Приложение 4'!I337+'Приложение 4'!I339</f>
        <v>4138272.95</v>
      </c>
    </row>
    <row r="217" spans="1:9" s="43" customFormat="1" ht="15" x14ac:dyDescent="0.2">
      <c r="A217" s="32" t="s">
        <v>52</v>
      </c>
      <c r="B217" s="23" t="s">
        <v>34</v>
      </c>
      <c r="C217" s="23" t="s">
        <v>34</v>
      </c>
      <c r="D217" s="36" t="s">
        <v>102</v>
      </c>
      <c r="E217" s="31">
        <v>300</v>
      </c>
      <c r="F217" s="24">
        <f>'Приложение 4'!G330+'Приложение 4'!G334</f>
        <v>13527011.629999999</v>
      </c>
      <c r="G217" s="24">
        <f>'Приложение 4'!H330+'Приложение 4'!H334</f>
        <v>8777973.4600000009</v>
      </c>
      <c r="H217" s="24">
        <f>'Приложение 4'!I330+'Приложение 4'!I334</f>
        <v>8967253.2699999996</v>
      </c>
    </row>
    <row r="218" spans="1:9" s="43" customFormat="1" ht="30" x14ac:dyDescent="0.2">
      <c r="A218" s="32" t="s">
        <v>147</v>
      </c>
      <c r="B218" s="23" t="s">
        <v>34</v>
      </c>
      <c r="C218" s="23" t="s">
        <v>34</v>
      </c>
      <c r="D218" s="36" t="s">
        <v>102</v>
      </c>
      <c r="E218" s="31"/>
      <c r="F218" s="24">
        <f>SUM(F219:F220)</f>
        <v>864013</v>
      </c>
      <c r="G218" s="24">
        <f>SUM(G219:G220)</f>
        <v>898573.52</v>
      </c>
      <c r="H218" s="24">
        <f>SUM(H219:H220)</f>
        <v>934516.4608</v>
      </c>
    </row>
    <row r="219" spans="1:9" s="43" customFormat="1" ht="30" x14ac:dyDescent="0.2">
      <c r="A219" s="22" t="s">
        <v>26</v>
      </c>
      <c r="B219" s="23" t="s">
        <v>34</v>
      </c>
      <c r="C219" s="23" t="s">
        <v>34</v>
      </c>
      <c r="D219" s="36" t="s">
        <v>102</v>
      </c>
      <c r="E219" s="31">
        <v>200</v>
      </c>
      <c r="F219" s="24">
        <f>'Приложение 4'!G342</f>
        <v>283295</v>
      </c>
      <c r="G219" s="24">
        <f>'Приложение 4'!H342</f>
        <v>294626.8</v>
      </c>
      <c r="H219" s="24">
        <f>'Приложение 4'!I342</f>
        <v>306411.87199999997</v>
      </c>
    </row>
    <row r="220" spans="1:9" s="43" customFormat="1" ht="15" x14ac:dyDescent="0.2">
      <c r="A220" s="32" t="s">
        <v>52</v>
      </c>
      <c r="B220" s="23" t="s">
        <v>34</v>
      </c>
      <c r="C220" s="23" t="s">
        <v>34</v>
      </c>
      <c r="D220" s="36" t="s">
        <v>102</v>
      </c>
      <c r="E220" s="31">
        <v>300</v>
      </c>
      <c r="F220" s="24">
        <f>'Приложение 4'!G343</f>
        <v>580718</v>
      </c>
      <c r="G220" s="24">
        <f>'Приложение 4'!H343</f>
        <v>603946.72</v>
      </c>
      <c r="H220" s="24">
        <f>'Приложение 4'!I343</f>
        <v>628104.58880000003</v>
      </c>
    </row>
    <row r="221" spans="1:9" s="43" customFormat="1" ht="30" x14ac:dyDescent="0.2">
      <c r="A221" s="32" t="s">
        <v>146</v>
      </c>
      <c r="B221" s="23" t="s">
        <v>34</v>
      </c>
      <c r="C221" s="23" t="s">
        <v>34</v>
      </c>
      <c r="D221" s="36" t="s">
        <v>102</v>
      </c>
      <c r="E221" s="31"/>
      <c r="F221" s="24">
        <f>F222</f>
        <v>1001000</v>
      </c>
      <c r="G221" s="24">
        <f>G222</f>
        <v>1041040</v>
      </c>
      <c r="H221" s="24">
        <f>H222</f>
        <v>1082681.6000000001</v>
      </c>
    </row>
    <row r="222" spans="1:9" s="43" customFormat="1" ht="30" x14ac:dyDescent="0.2">
      <c r="A222" s="32" t="s">
        <v>26</v>
      </c>
      <c r="B222" s="23" t="s">
        <v>34</v>
      </c>
      <c r="C222" s="23" t="s">
        <v>34</v>
      </c>
      <c r="D222" s="36" t="s">
        <v>102</v>
      </c>
      <c r="E222" s="31">
        <v>200</v>
      </c>
      <c r="F222" s="24">
        <f>'Приложение 4'!G346</f>
        <v>1001000</v>
      </c>
      <c r="G222" s="24">
        <f>'Приложение 4'!H346</f>
        <v>1041040</v>
      </c>
      <c r="H222" s="24">
        <f>'Приложение 4'!I346</f>
        <v>1082681.6000000001</v>
      </c>
    </row>
    <row r="223" spans="1:9" s="43" customFormat="1" ht="15" x14ac:dyDescent="0.2">
      <c r="A223" s="105" t="s">
        <v>50</v>
      </c>
      <c r="B223" s="23" t="s">
        <v>34</v>
      </c>
      <c r="C223" s="23" t="s">
        <v>34</v>
      </c>
      <c r="D223" s="23" t="s">
        <v>103</v>
      </c>
      <c r="E223" s="23"/>
      <c r="F223" s="24">
        <f>F224+F225</f>
        <v>22345893.909999996</v>
      </c>
      <c r="G223" s="24">
        <f>G224+G225</f>
        <v>19014799.789999999</v>
      </c>
      <c r="H223" s="24">
        <f>H224+H225</f>
        <v>18691495.760000002</v>
      </c>
      <c r="I223" s="230"/>
    </row>
    <row r="224" spans="1:9" s="43" customFormat="1" ht="75" x14ac:dyDescent="0.2">
      <c r="A224" s="32" t="s">
        <v>22</v>
      </c>
      <c r="B224" s="23" t="s">
        <v>34</v>
      </c>
      <c r="C224" s="23" t="s">
        <v>34</v>
      </c>
      <c r="D224" s="23" t="s">
        <v>103</v>
      </c>
      <c r="E224" s="23" t="s">
        <v>23</v>
      </c>
      <c r="F224" s="24">
        <f>'Приложение 4'!G349</f>
        <v>21335483.779999997</v>
      </c>
      <c r="G224" s="24">
        <f>'Приложение 4'!H349</f>
        <v>17963973.25</v>
      </c>
      <c r="H224" s="24">
        <f>'Приложение 4'!I349</f>
        <v>17598636.16</v>
      </c>
      <c r="I224" s="230"/>
    </row>
    <row r="225" spans="1:9" s="43" customFormat="1" ht="30" x14ac:dyDescent="0.2">
      <c r="A225" s="22" t="s">
        <v>26</v>
      </c>
      <c r="B225" s="23" t="s">
        <v>34</v>
      </c>
      <c r="C225" s="23" t="s">
        <v>34</v>
      </c>
      <c r="D225" s="23" t="s">
        <v>103</v>
      </c>
      <c r="E225" s="23" t="s">
        <v>27</v>
      </c>
      <c r="F225" s="24">
        <f>'Приложение 4'!G350</f>
        <v>1010410.1299999999</v>
      </c>
      <c r="G225" s="24">
        <f>'Приложение 4'!H350</f>
        <v>1050826.54</v>
      </c>
      <c r="H225" s="24">
        <f>'Приложение 4'!I350</f>
        <v>1092859.6000000001</v>
      </c>
      <c r="I225" s="230"/>
    </row>
    <row r="226" spans="1:9" s="44" customFormat="1" x14ac:dyDescent="0.25">
      <c r="A226" s="60" t="s">
        <v>104</v>
      </c>
      <c r="B226" s="61" t="s">
        <v>34</v>
      </c>
      <c r="C226" s="61" t="s">
        <v>74</v>
      </c>
      <c r="D226" s="62"/>
      <c r="E226" s="62"/>
      <c r="F226" s="63">
        <f>F227+F247</f>
        <v>162416241.52000001</v>
      </c>
      <c r="G226" s="63">
        <f>G227+G247</f>
        <v>141766296.97999999</v>
      </c>
      <c r="H226" s="20">
        <f>H227+H247</f>
        <v>145653061.18000001</v>
      </c>
    </row>
    <row r="227" spans="1:9" s="44" customFormat="1" x14ac:dyDescent="0.25">
      <c r="A227" s="34" t="s">
        <v>87</v>
      </c>
      <c r="B227" s="19" t="s">
        <v>34</v>
      </c>
      <c r="C227" s="19" t="s">
        <v>74</v>
      </c>
      <c r="D227" s="35" t="s">
        <v>88</v>
      </c>
      <c r="E227" s="30"/>
      <c r="F227" s="20">
        <f>F228+F240</f>
        <v>159422110.23000002</v>
      </c>
      <c r="G227" s="20">
        <f>G228+G240</f>
        <v>141766296.97999999</v>
      </c>
      <c r="H227" s="20">
        <f>H228+H240</f>
        <v>145653061.18000001</v>
      </c>
    </row>
    <row r="228" spans="1:9" s="45" customFormat="1" ht="15" x14ac:dyDescent="0.2">
      <c r="A228" s="32" t="s">
        <v>43</v>
      </c>
      <c r="B228" s="23" t="s">
        <v>34</v>
      </c>
      <c r="C228" s="23" t="s">
        <v>74</v>
      </c>
      <c r="D228" s="36" t="s">
        <v>105</v>
      </c>
      <c r="E228" s="31"/>
      <c r="F228" s="24">
        <f>F229+F231+F236+F238</f>
        <v>61141410.280000001</v>
      </c>
      <c r="G228" s="24">
        <f>G229+G231+G236+G238</f>
        <v>58386960.690000005</v>
      </c>
      <c r="H228" s="24">
        <f>H229+H231+H236+H238</f>
        <v>58726979.870000005</v>
      </c>
    </row>
    <row r="229" spans="1:9" s="45" customFormat="1" ht="30" x14ac:dyDescent="0.2">
      <c r="A229" s="32" t="s">
        <v>204</v>
      </c>
      <c r="B229" s="23" t="s">
        <v>34</v>
      </c>
      <c r="C229" s="23" t="s">
        <v>74</v>
      </c>
      <c r="D229" s="36" t="s">
        <v>105</v>
      </c>
      <c r="E229" s="31"/>
      <c r="F229" s="24">
        <f>F230</f>
        <v>2528735.63</v>
      </c>
      <c r="G229" s="24">
        <f>G230</f>
        <v>2629885.06</v>
      </c>
      <c r="H229" s="24">
        <f>H230</f>
        <v>2735080.46</v>
      </c>
    </row>
    <row r="230" spans="1:9" s="44" customFormat="1" ht="15" x14ac:dyDescent="0.2">
      <c r="A230" s="32" t="s">
        <v>52</v>
      </c>
      <c r="B230" s="23" t="s">
        <v>34</v>
      </c>
      <c r="C230" s="23" t="s">
        <v>74</v>
      </c>
      <c r="D230" s="36" t="s">
        <v>105</v>
      </c>
      <c r="E230" s="31">
        <v>300</v>
      </c>
      <c r="F230" s="24">
        <f>'Приложение 4'!G356</f>
        <v>2528735.63</v>
      </c>
      <c r="G230" s="24">
        <f>'Приложение 4'!H356</f>
        <v>2629885.06</v>
      </c>
      <c r="H230" s="24">
        <f>'Приложение 4'!I356</f>
        <v>2735080.46</v>
      </c>
    </row>
    <row r="231" spans="1:9" s="44" customFormat="1" ht="30" x14ac:dyDescent="0.2">
      <c r="A231" s="32" t="s">
        <v>205</v>
      </c>
      <c r="B231" s="23" t="s">
        <v>34</v>
      </c>
      <c r="C231" s="23" t="s">
        <v>74</v>
      </c>
      <c r="D231" s="36" t="s">
        <v>105</v>
      </c>
      <c r="E231" s="31"/>
      <c r="F231" s="24">
        <f>SUM(F232:F235)</f>
        <v>52967848.200000003</v>
      </c>
      <c r="G231" s="24">
        <f t="shared" ref="G231:H231" si="24">SUM(G232:G235)</f>
        <v>49886456.120000005</v>
      </c>
      <c r="H231" s="24">
        <f t="shared" si="24"/>
        <v>49886455.120000005</v>
      </c>
    </row>
    <row r="232" spans="1:9" s="44" customFormat="1" ht="75" x14ac:dyDescent="0.2">
      <c r="A232" s="32" t="s">
        <v>22</v>
      </c>
      <c r="B232" s="23" t="s">
        <v>34</v>
      </c>
      <c r="C232" s="23" t="s">
        <v>74</v>
      </c>
      <c r="D232" s="36" t="s">
        <v>105</v>
      </c>
      <c r="E232" s="31">
        <v>100</v>
      </c>
      <c r="F232" s="24">
        <f>'Приложение 4'!G359</f>
        <v>16169153.25</v>
      </c>
      <c r="G232" s="24">
        <f>'Приложение 4'!H359</f>
        <v>0</v>
      </c>
      <c r="H232" s="24">
        <f>'Приложение 4'!I359</f>
        <v>0</v>
      </c>
    </row>
    <row r="233" spans="1:9" s="44" customFormat="1" ht="30" x14ac:dyDescent="0.2">
      <c r="A233" s="32" t="s">
        <v>26</v>
      </c>
      <c r="B233" s="23" t="s">
        <v>34</v>
      </c>
      <c r="C233" s="23" t="s">
        <v>74</v>
      </c>
      <c r="D233" s="36" t="s">
        <v>105</v>
      </c>
      <c r="E233" s="31">
        <v>200</v>
      </c>
      <c r="F233" s="24">
        <f>'Приложение 4'!G360</f>
        <v>23282300.390000001</v>
      </c>
      <c r="G233" s="24">
        <f>'Приложение 4'!H360</f>
        <v>0</v>
      </c>
      <c r="H233" s="24">
        <f>'Приложение 4'!I360</f>
        <v>0</v>
      </c>
    </row>
    <row r="234" spans="1:9" s="44" customFormat="1" ht="30" x14ac:dyDescent="0.2">
      <c r="A234" s="32" t="s">
        <v>54</v>
      </c>
      <c r="B234" s="23" t="s">
        <v>34</v>
      </c>
      <c r="C234" s="23" t="s">
        <v>74</v>
      </c>
      <c r="D234" s="36" t="s">
        <v>105</v>
      </c>
      <c r="E234" s="31">
        <v>600</v>
      </c>
      <c r="F234" s="24">
        <f>'Приложение 4'!G361</f>
        <v>13516394.560000001</v>
      </c>
      <c r="G234" s="24">
        <f>'Приложение 4'!H361</f>
        <v>13516394.560000001</v>
      </c>
      <c r="H234" s="24">
        <f>'Приложение 4'!I361</f>
        <v>13516394.560000001</v>
      </c>
    </row>
    <row r="235" spans="1:9" s="44" customFormat="1" ht="15" x14ac:dyDescent="0.2">
      <c r="A235" s="32" t="s">
        <v>28</v>
      </c>
      <c r="B235" s="23" t="s">
        <v>34</v>
      </c>
      <c r="C235" s="23" t="s">
        <v>74</v>
      </c>
      <c r="D235" s="36" t="s">
        <v>105</v>
      </c>
      <c r="E235" s="31">
        <v>800</v>
      </c>
      <c r="F235" s="24">
        <f>'Приложение 4'!G362</f>
        <v>0</v>
      </c>
      <c r="G235" s="24">
        <f>'Приложение 4'!H362</f>
        <v>36370061.560000002</v>
      </c>
      <c r="H235" s="24">
        <f>'Приложение 4'!I362</f>
        <v>36370060.560000002</v>
      </c>
    </row>
    <row r="236" spans="1:9" s="44" customFormat="1" ht="30" x14ac:dyDescent="0.2">
      <c r="A236" s="32" t="s">
        <v>206</v>
      </c>
      <c r="B236" s="23" t="s">
        <v>34</v>
      </c>
      <c r="C236" s="23" t="s">
        <v>74</v>
      </c>
      <c r="D236" s="36" t="s">
        <v>105</v>
      </c>
      <c r="E236" s="31"/>
      <c r="F236" s="24">
        <f>F237</f>
        <v>4489654.05</v>
      </c>
      <c r="G236" s="24">
        <f>G237</f>
        <v>4669240.21</v>
      </c>
      <c r="H236" s="24">
        <f>H237</f>
        <v>4856009.82</v>
      </c>
    </row>
    <row r="237" spans="1:9" s="44" customFormat="1" ht="15" x14ac:dyDescent="0.2">
      <c r="A237" s="32" t="s">
        <v>52</v>
      </c>
      <c r="B237" s="23" t="s">
        <v>34</v>
      </c>
      <c r="C237" s="23" t="s">
        <v>74</v>
      </c>
      <c r="D237" s="36" t="s">
        <v>105</v>
      </c>
      <c r="E237" s="31">
        <v>300</v>
      </c>
      <c r="F237" s="24">
        <f>'Приложение 4'!G365</f>
        <v>4489654.05</v>
      </c>
      <c r="G237" s="24">
        <f>'Приложение 4'!H365</f>
        <v>4669240.21</v>
      </c>
      <c r="H237" s="24">
        <f>'Приложение 4'!I365</f>
        <v>4856009.82</v>
      </c>
    </row>
    <row r="238" spans="1:9" s="44" customFormat="1" ht="30" x14ac:dyDescent="0.2">
      <c r="A238" s="32" t="s">
        <v>196</v>
      </c>
      <c r="B238" s="23" t="s">
        <v>34</v>
      </c>
      <c r="C238" s="23" t="s">
        <v>74</v>
      </c>
      <c r="D238" s="36" t="s">
        <v>105</v>
      </c>
      <c r="E238" s="31"/>
      <c r="F238" s="24">
        <f>F239</f>
        <v>1155172.3999999999</v>
      </c>
      <c r="G238" s="24">
        <f>G239</f>
        <v>1201379.3</v>
      </c>
      <c r="H238" s="24">
        <f>H239</f>
        <v>1249434.47</v>
      </c>
    </row>
    <row r="239" spans="1:9" s="44" customFormat="1" ht="15" x14ac:dyDescent="0.2">
      <c r="A239" s="32" t="s">
        <v>52</v>
      </c>
      <c r="B239" s="23" t="s">
        <v>34</v>
      </c>
      <c r="C239" s="23" t="s">
        <v>74</v>
      </c>
      <c r="D239" s="36" t="s">
        <v>105</v>
      </c>
      <c r="E239" s="31">
        <v>300</v>
      </c>
      <c r="F239" s="24">
        <f>'Приложение 4'!G368</f>
        <v>1155172.3999999999</v>
      </c>
      <c r="G239" s="24">
        <f>'Приложение 4'!H368</f>
        <v>1201379.3</v>
      </c>
      <c r="H239" s="24">
        <f>'Приложение 4'!I368</f>
        <v>1249434.47</v>
      </c>
    </row>
    <row r="240" spans="1:9" s="45" customFormat="1" ht="15" x14ac:dyDescent="0.2">
      <c r="A240" s="235" t="s">
        <v>50</v>
      </c>
      <c r="B240" s="23" t="s">
        <v>34</v>
      </c>
      <c r="C240" s="23" t="s">
        <v>74</v>
      </c>
      <c r="D240" s="36" t="s">
        <v>89</v>
      </c>
      <c r="E240" s="31"/>
      <c r="F240" s="24">
        <f>SUM(F241:F246)</f>
        <v>98280699.950000003</v>
      </c>
      <c r="G240" s="24">
        <f>SUM(G241:G246)</f>
        <v>83379336.289999992</v>
      </c>
      <c r="H240" s="24">
        <f>SUM(H241:H246)</f>
        <v>86926081.310000002</v>
      </c>
    </row>
    <row r="241" spans="1:8" s="44" customFormat="1" ht="75" x14ac:dyDescent="0.2">
      <c r="A241" s="32" t="s">
        <v>22</v>
      </c>
      <c r="B241" s="23" t="s">
        <v>34</v>
      </c>
      <c r="C241" s="23" t="s">
        <v>74</v>
      </c>
      <c r="D241" s="36" t="s">
        <v>89</v>
      </c>
      <c r="E241" s="31">
        <v>100</v>
      </c>
      <c r="F241" s="28">
        <f>'Приложение 4'!G373</f>
        <v>56882684.270000003</v>
      </c>
      <c r="G241" s="28">
        <f>'Приложение 4'!H373</f>
        <v>57210710.509999998</v>
      </c>
      <c r="H241" s="28">
        <f>'Приложение 4'!I373</f>
        <v>58210710.509999998</v>
      </c>
    </row>
    <row r="242" spans="1:8" s="44" customFormat="1" ht="30" x14ac:dyDescent="0.2">
      <c r="A242" s="22" t="s">
        <v>26</v>
      </c>
      <c r="B242" s="23" t="s">
        <v>34</v>
      </c>
      <c r="C242" s="23" t="s">
        <v>74</v>
      </c>
      <c r="D242" s="36" t="s">
        <v>89</v>
      </c>
      <c r="E242" s="31">
        <v>200</v>
      </c>
      <c r="F242" s="28">
        <f>'Приложение 4'!G374</f>
        <v>7428519.1799999997</v>
      </c>
      <c r="G242" s="28">
        <f>'Приложение 4'!H374</f>
        <v>8198859.9400000004</v>
      </c>
      <c r="H242" s="28">
        <f>'Приложение 4'!I374</f>
        <v>10026814.33</v>
      </c>
    </row>
    <row r="243" spans="1:8" s="44" customFormat="1" ht="15" x14ac:dyDescent="0.2">
      <c r="A243" s="32" t="s">
        <v>52</v>
      </c>
      <c r="B243" s="23" t="s">
        <v>34</v>
      </c>
      <c r="C243" s="23" t="s">
        <v>74</v>
      </c>
      <c r="D243" s="36" t="s">
        <v>89</v>
      </c>
      <c r="E243" s="31">
        <v>300</v>
      </c>
      <c r="F243" s="28">
        <f>'Приложение 4'!G375+'Приложение 4'!G371</f>
        <v>482483.5</v>
      </c>
      <c r="G243" s="28">
        <f>'Приложение 4'!H375+'Приложение 4'!H371</f>
        <v>0</v>
      </c>
      <c r="H243" s="28">
        <f>'Приложение 4'!I375+'Приложение 4'!I371</f>
        <v>0</v>
      </c>
    </row>
    <row r="244" spans="1:8" s="44" customFormat="1" ht="30" hidden="1" x14ac:dyDescent="0.2">
      <c r="A244" s="32" t="s">
        <v>54</v>
      </c>
      <c r="B244" s="23" t="s">
        <v>34</v>
      </c>
      <c r="C244" s="23" t="s">
        <v>74</v>
      </c>
      <c r="D244" s="36" t="s">
        <v>89</v>
      </c>
      <c r="E244" s="31">
        <v>600</v>
      </c>
      <c r="F244" s="28">
        <f>'Приложение 4'!G376</f>
        <v>0</v>
      </c>
      <c r="G244" s="28">
        <f>'Приложение 4'!H376</f>
        <v>0</v>
      </c>
      <c r="H244" s="28">
        <f>'Приложение 4'!I376</f>
        <v>0</v>
      </c>
    </row>
    <row r="245" spans="1:8" s="45" customFormat="1" ht="15" x14ac:dyDescent="0.2">
      <c r="A245" s="32" t="s">
        <v>28</v>
      </c>
      <c r="B245" s="23" t="s">
        <v>34</v>
      </c>
      <c r="C245" s="23" t="s">
        <v>74</v>
      </c>
      <c r="D245" s="36" t="s">
        <v>89</v>
      </c>
      <c r="E245" s="31">
        <v>800</v>
      </c>
      <c r="F245" s="28">
        <f>'Приложение 4'!G377</f>
        <v>4000000</v>
      </c>
      <c r="G245" s="28">
        <f>'Приложение 4'!H377</f>
        <v>4160000</v>
      </c>
      <c r="H245" s="28">
        <f>'Приложение 4'!I377</f>
        <v>4326400</v>
      </c>
    </row>
    <row r="246" spans="1:8" s="45" customFormat="1" ht="15" x14ac:dyDescent="0.2">
      <c r="A246" s="32" t="s">
        <v>28</v>
      </c>
      <c r="B246" s="23" t="s">
        <v>34</v>
      </c>
      <c r="C246" s="23" t="s">
        <v>74</v>
      </c>
      <c r="D246" s="36" t="s">
        <v>89</v>
      </c>
      <c r="E246" s="31">
        <v>800</v>
      </c>
      <c r="F246" s="28">
        <f>'Приложение 4'!G379</f>
        <v>29487013</v>
      </c>
      <c r="G246" s="28">
        <f>'Приложение 4'!H379</f>
        <v>13809765.84</v>
      </c>
      <c r="H246" s="28">
        <f>'Приложение 4'!I379</f>
        <v>14362156.470000001</v>
      </c>
    </row>
    <row r="247" spans="1:8" s="44" customFormat="1" x14ac:dyDescent="0.25">
      <c r="A247" s="18" t="s">
        <v>18</v>
      </c>
      <c r="B247" s="19" t="s">
        <v>34</v>
      </c>
      <c r="C247" s="19" t="s">
        <v>74</v>
      </c>
      <c r="D247" s="39" t="s">
        <v>19</v>
      </c>
      <c r="E247" s="30"/>
      <c r="F247" s="42">
        <f t="shared" ref="F247:H248" si="25">F248</f>
        <v>2994131.29</v>
      </c>
      <c r="G247" s="42">
        <f t="shared" si="25"/>
        <v>0</v>
      </c>
      <c r="H247" s="42">
        <f t="shared" si="25"/>
        <v>0</v>
      </c>
    </row>
    <row r="248" spans="1:8" s="45" customFormat="1" ht="15" x14ac:dyDescent="0.2">
      <c r="A248" s="22" t="s">
        <v>56</v>
      </c>
      <c r="B248" s="23" t="s">
        <v>34</v>
      </c>
      <c r="C248" s="23" t="s">
        <v>74</v>
      </c>
      <c r="D248" s="40" t="s">
        <v>38</v>
      </c>
      <c r="E248" s="31"/>
      <c r="F248" s="28">
        <f t="shared" si="25"/>
        <v>2994131.29</v>
      </c>
      <c r="G248" s="28">
        <f t="shared" si="25"/>
        <v>0</v>
      </c>
      <c r="H248" s="28">
        <f t="shared" si="25"/>
        <v>0</v>
      </c>
    </row>
    <row r="249" spans="1:8" s="45" customFormat="1" ht="30" x14ac:dyDescent="0.2">
      <c r="A249" s="32" t="s">
        <v>54</v>
      </c>
      <c r="B249" s="23" t="s">
        <v>34</v>
      </c>
      <c r="C249" s="23" t="s">
        <v>74</v>
      </c>
      <c r="D249" s="40" t="s">
        <v>38</v>
      </c>
      <c r="E249" s="31">
        <v>600</v>
      </c>
      <c r="F249" s="28">
        <f>'Приложение 2'!F183</f>
        <v>2994131.29</v>
      </c>
      <c r="G249" s="28">
        <f>'Приложение 2'!G183</f>
        <v>0</v>
      </c>
      <c r="H249" s="28">
        <f>'Приложение 2'!H183</f>
        <v>0</v>
      </c>
    </row>
    <row r="250" spans="1:8" s="44" customFormat="1" x14ac:dyDescent="0.25">
      <c r="A250" s="34" t="s">
        <v>106</v>
      </c>
      <c r="B250" s="19" t="s">
        <v>69</v>
      </c>
      <c r="C250" s="19"/>
      <c r="D250" s="30"/>
      <c r="E250" s="30"/>
      <c r="F250" s="20">
        <f>F251+F270</f>
        <v>259369207.94999999</v>
      </c>
      <c r="G250" s="20">
        <f t="shared" ref="G250:H250" si="26">G251+G270</f>
        <v>524989257.71999997</v>
      </c>
      <c r="H250" s="20">
        <f t="shared" si="26"/>
        <v>255455135.61508229</v>
      </c>
    </row>
    <row r="251" spans="1:8" s="44" customFormat="1" x14ac:dyDescent="0.25">
      <c r="A251" s="34" t="s">
        <v>107</v>
      </c>
      <c r="B251" s="19" t="s">
        <v>69</v>
      </c>
      <c r="C251" s="19" t="s">
        <v>15</v>
      </c>
      <c r="D251" s="30"/>
      <c r="E251" s="30"/>
      <c r="F251" s="20">
        <f>F252+F266</f>
        <v>228543638.94999999</v>
      </c>
      <c r="G251" s="20">
        <f t="shared" ref="G251:H251" si="27">G252+G266</f>
        <v>493901549.14999998</v>
      </c>
      <c r="H251" s="20">
        <f t="shared" si="27"/>
        <v>224056495.2050823</v>
      </c>
    </row>
    <row r="252" spans="1:8" s="45" customFormat="1" x14ac:dyDescent="0.25">
      <c r="A252" s="34" t="s">
        <v>95</v>
      </c>
      <c r="B252" s="19" t="s">
        <v>69</v>
      </c>
      <c r="C252" s="19" t="s">
        <v>15</v>
      </c>
      <c r="D252" s="35" t="s">
        <v>96</v>
      </c>
      <c r="E252" s="30"/>
      <c r="F252" s="20">
        <f>F253+F255+F262</f>
        <v>228543638.94999999</v>
      </c>
      <c r="G252" s="20">
        <f t="shared" ref="G252" si="28">G253+G255+G262</f>
        <v>493901549.14999998</v>
      </c>
      <c r="H252" s="20">
        <f>H253+H255+H262</f>
        <v>224056495.2050823</v>
      </c>
    </row>
    <row r="253" spans="1:8" s="45" customFormat="1" ht="30" hidden="1" x14ac:dyDescent="0.2">
      <c r="A253" s="32" t="s">
        <v>91</v>
      </c>
      <c r="B253" s="23" t="s">
        <v>69</v>
      </c>
      <c r="C253" s="23" t="s">
        <v>15</v>
      </c>
      <c r="D253" s="100" t="s">
        <v>108</v>
      </c>
      <c r="E253" s="46"/>
      <c r="F253" s="24">
        <f>F254</f>
        <v>0</v>
      </c>
      <c r="G253" s="24">
        <f t="shared" ref="G253:H253" si="29">G254</f>
        <v>0</v>
      </c>
      <c r="H253" s="24">
        <f t="shared" si="29"/>
        <v>0</v>
      </c>
    </row>
    <row r="254" spans="1:8" s="45" customFormat="1" ht="30" hidden="1" x14ac:dyDescent="0.2">
      <c r="A254" s="22" t="s">
        <v>26</v>
      </c>
      <c r="B254" s="23" t="s">
        <v>69</v>
      </c>
      <c r="C254" s="23" t="s">
        <v>15</v>
      </c>
      <c r="D254" s="100" t="s">
        <v>108</v>
      </c>
      <c r="E254" s="46">
        <v>200</v>
      </c>
      <c r="F254" s="24">
        <v>0</v>
      </c>
      <c r="G254" s="24">
        <v>0</v>
      </c>
      <c r="H254" s="24">
        <v>0</v>
      </c>
    </row>
    <row r="255" spans="1:8" s="44" customFormat="1" x14ac:dyDescent="0.25">
      <c r="A255" s="18" t="s">
        <v>43</v>
      </c>
      <c r="B255" s="23" t="s">
        <v>69</v>
      </c>
      <c r="C255" s="23" t="s">
        <v>15</v>
      </c>
      <c r="D255" s="36" t="s">
        <v>109</v>
      </c>
      <c r="E255" s="70"/>
      <c r="F255" s="20">
        <f>F256+F258+F260</f>
        <v>106815811.42</v>
      </c>
      <c r="G255" s="20">
        <f t="shared" ref="G255:H255" si="30">G256+G258+G260</f>
        <v>368483174.5</v>
      </c>
      <c r="H255" s="20">
        <f t="shared" si="30"/>
        <v>97333933.709999993</v>
      </c>
    </row>
    <row r="256" spans="1:8" s="45" customFormat="1" ht="30" x14ac:dyDescent="0.2">
      <c r="A256" s="22" t="s">
        <v>212</v>
      </c>
      <c r="B256" s="23" t="s">
        <v>69</v>
      </c>
      <c r="C256" s="23" t="s">
        <v>15</v>
      </c>
      <c r="D256" s="36" t="s">
        <v>109</v>
      </c>
      <c r="E256" s="46"/>
      <c r="F256" s="24">
        <f>F257</f>
        <v>5639850</v>
      </c>
      <c r="G256" s="24">
        <f t="shared" ref="G256:H256" si="31">G257</f>
        <v>7639213.5</v>
      </c>
      <c r="H256" s="24">
        <f t="shared" si="31"/>
        <v>7953872</v>
      </c>
    </row>
    <row r="257" spans="1:8" s="45" customFormat="1" ht="30" x14ac:dyDescent="0.2">
      <c r="A257" s="22" t="s">
        <v>26</v>
      </c>
      <c r="B257" s="23" t="s">
        <v>69</v>
      </c>
      <c r="C257" s="23" t="s">
        <v>15</v>
      </c>
      <c r="D257" s="36" t="s">
        <v>109</v>
      </c>
      <c r="E257" s="46">
        <v>200</v>
      </c>
      <c r="F257" s="24">
        <f>'Приложение 4'!G391+'Приложение 4'!G393</f>
        <v>5639850</v>
      </c>
      <c r="G257" s="24">
        <f>'Приложение 4'!H391+'Приложение 4'!H393</f>
        <v>7639213.5</v>
      </c>
      <c r="H257" s="24">
        <f>'Приложение 4'!I391+'Приложение 4'!I393</f>
        <v>7953872</v>
      </c>
    </row>
    <row r="258" spans="1:8" s="45" customFormat="1" ht="60" x14ac:dyDescent="0.2">
      <c r="A258" s="22" t="s">
        <v>615</v>
      </c>
      <c r="B258" s="23" t="s">
        <v>69</v>
      </c>
      <c r="C258" s="23" t="s">
        <v>15</v>
      </c>
      <c r="D258" s="36" t="s">
        <v>109</v>
      </c>
      <c r="E258" s="46"/>
      <c r="F258" s="24">
        <f>F259</f>
        <v>100357961.42</v>
      </c>
      <c r="G258" s="24">
        <f t="shared" ref="G258:H258" si="32">G259</f>
        <v>360000000</v>
      </c>
      <c r="H258" s="24">
        <f t="shared" si="32"/>
        <v>88508250</v>
      </c>
    </row>
    <row r="259" spans="1:8" s="45" customFormat="1" ht="30" x14ac:dyDescent="0.2">
      <c r="A259" s="22" t="s">
        <v>48</v>
      </c>
      <c r="B259" s="23" t="s">
        <v>69</v>
      </c>
      <c r="C259" s="23" t="s">
        <v>15</v>
      </c>
      <c r="D259" s="36" t="s">
        <v>109</v>
      </c>
      <c r="E259" s="46">
        <v>400</v>
      </c>
      <c r="F259" s="24">
        <f>'Приложение 4'!G396+'Приложение 4'!G398</f>
        <v>100357961.42</v>
      </c>
      <c r="G259" s="24">
        <f>'Приложение 4'!H396+'Приложение 4'!H398</f>
        <v>360000000</v>
      </c>
      <c r="H259" s="24">
        <f>'Приложение 4'!I396+'Приложение 4'!I398</f>
        <v>88508250</v>
      </c>
    </row>
    <row r="260" spans="1:8" s="45" customFormat="1" ht="45" x14ac:dyDescent="0.2">
      <c r="A260" s="32" t="s">
        <v>211</v>
      </c>
      <c r="B260" s="23" t="s">
        <v>69</v>
      </c>
      <c r="C260" s="23" t="s">
        <v>15</v>
      </c>
      <c r="D260" s="36" t="s">
        <v>109</v>
      </c>
      <c r="E260" s="31"/>
      <c r="F260" s="24">
        <f>SUM(F261:F261)</f>
        <v>818000</v>
      </c>
      <c r="G260" s="24">
        <f>SUM(G261:G261)</f>
        <v>843960.99999999988</v>
      </c>
      <c r="H260" s="24">
        <f>SUM(H261:H261)</f>
        <v>871811.71</v>
      </c>
    </row>
    <row r="261" spans="1:8" s="44" customFormat="1" ht="30" x14ac:dyDescent="0.2">
      <c r="A261" s="22" t="s">
        <v>26</v>
      </c>
      <c r="B261" s="23" t="s">
        <v>69</v>
      </c>
      <c r="C261" s="23" t="s">
        <v>15</v>
      </c>
      <c r="D261" s="36" t="s">
        <v>109</v>
      </c>
      <c r="E261" s="31">
        <v>200</v>
      </c>
      <c r="F261" s="24">
        <f>'Приложение 4'!G401</f>
        <v>818000</v>
      </c>
      <c r="G261" s="24">
        <f>'Приложение 4'!H401</f>
        <v>843960.99999999988</v>
      </c>
      <c r="H261" s="24">
        <f>'Приложение 4'!I401</f>
        <v>871811.71</v>
      </c>
    </row>
    <row r="262" spans="1:8" s="45" customFormat="1" ht="15" x14ac:dyDescent="0.2">
      <c r="A262" s="236" t="s">
        <v>50</v>
      </c>
      <c r="B262" s="23" t="s">
        <v>69</v>
      </c>
      <c r="C262" s="23" t="s">
        <v>15</v>
      </c>
      <c r="D262" s="36" t="s">
        <v>98</v>
      </c>
      <c r="E262" s="31"/>
      <c r="F262" s="24">
        <f>SUM(F263:F265)</f>
        <v>121727827.53</v>
      </c>
      <c r="G262" s="24">
        <f>SUM(G263:G265)</f>
        <v>125418374.65000001</v>
      </c>
      <c r="H262" s="24">
        <f>SUM(H263:H265)</f>
        <v>126722561.4950823</v>
      </c>
    </row>
    <row r="263" spans="1:8" s="45" customFormat="1" ht="75" x14ac:dyDescent="0.2">
      <c r="A263" s="32" t="s">
        <v>22</v>
      </c>
      <c r="B263" s="23" t="s">
        <v>69</v>
      </c>
      <c r="C263" s="23" t="s">
        <v>15</v>
      </c>
      <c r="D263" s="36" t="s">
        <v>98</v>
      </c>
      <c r="E263" s="31">
        <v>100</v>
      </c>
      <c r="F263" s="25">
        <f>'Приложение 4'!G404+'Приложение 4'!G408</f>
        <v>99594826.769999996</v>
      </c>
      <c r="G263" s="25">
        <f>'Приложение 4'!H404+'Приложение 4'!H408</f>
        <v>99903970.150000006</v>
      </c>
      <c r="H263" s="25">
        <f>'Приложение 4'!I404+'Приложение 4'!I408</f>
        <v>100212326.606729</v>
      </c>
    </row>
    <row r="264" spans="1:8" s="45" customFormat="1" ht="30" x14ac:dyDescent="0.2">
      <c r="A264" s="22" t="s">
        <v>26</v>
      </c>
      <c r="B264" s="23" t="s">
        <v>69</v>
      </c>
      <c r="C264" s="23" t="s">
        <v>15</v>
      </c>
      <c r="D264" s="36" t="s">
        <v>98</v>
      </c>
      <c r="E264" s="31">
        <v>200</v>
      </c>
      <c r="F264" s="25">
        <f>'Приложение 4'!G405+'Приложение 4'!G409</f>
        <v>21215141.640000001</v>
      </c>
      <c r="G264" s="25">
        <f>'Приложение 4'!H405+'Приложение 4'!H409</f>
        <v>24596545.380000003</v>
      </c>
      <c r="H264" s="25">
        <f>'Приложение 4'!I405+'Приложение 4'!I409</f>
        <v>25592375.768353295</v>
      </c>
    </row>
    <row r="265" spans="1:8" s="45" customFormat="1" ht="15" x14ac:dyDescent="0.2">
      <c r="A265" s="32" t="s">
        <v>28</v>
      </c>
      <c r="B265" s="23" t="s">
        <v>69</v>
      </c>
      <c r="C265" s="23" t="s">
        <v>15</v>
      </c>
      <c r="D265" s="36" t="s">
        <v>98</v>
      </c>
      <c r="E265" s="31">
        <v>800</v>
      </c>
      <c r="F265" s="25">
        <f>'Приложение 4'!G406+'Приложение 4'!G410</f>
        <v>917859.12000000011</v>
      </c>
      <c r="G265" s="25">
        <f>'Приложение 4'!H406+'Приложение 4'!H410</f>
        <v>917859.12000000011</v>
      </c>
      <c r="H265" s="25">
        <f>'Приложение 4'!I406+'Приложение 4'!I410</f>
        <v>917859.12000000011</v>
      </c>
    </row>
    <row r="266" spans="1:8" s="44" customFormat="1" hidden="1" x14ac:dyDescent="0.25">
      <c r="A266" s="34" t="s">
        <v>110</v>
      </c>
      <c r="B266" s="19" t="s">
        <v>69</v>
      </c>
      <c r="C266" s="19" t="s">
        <v>15</v>
      </c>
      <c r="D266" s="35" t="s">
        <v>111</v>
      </c>
      <c r="E266" s="30"/>
      <c r="F266" s="237">
        <f>F267</f>
        <v>0</v>
      </c>
      <c r="G266" s="237">
        <f>G267</f>
        <v>0</v>
      </c>
      <c r="H266" s="42"/>
    </row>
    <row r="267" spans="1:8" s="45" customFormat="1" ht="15" hidden="1" x14ac:dyDescent="0.2">
      <c r="A267" s="32" t="s">
        <v>43</v>
      </c>
      <c r="B267" s="23" t="s">
        <v>69</v>
      </c>
      <c r="C267" s="23" t="s">
        <v>15</v>
      </c>
      <c r="D267" s="36" t="s">
        <v>112</v>
      </c>
      <c r="E267" s="31"/>
      <c r="F267" s="25">
        <f>SUM(F268:F269)</f>
        <v>0</v>
      </c>
      <c r="G267" s="25">
        <f>SUM(G268:G269)</f>
        <v>0</v>
      </c>
      <c r="H267" s="25">
        <f>SUM(H268:H269)</f>
        <v>0</v>
      </c>
    </row>
    <row r="268" spans="1:8" s="45" customFormat="1" ht="30" hidden="1" x14ac:dyDescent="0.2">
      <c r="A268" s="32" t="s">
        <v>48</v>
      </c>
      <c r="B268" s="23" t="s">
        <v>69</v>
      </c>
      <c r="C268" s="23" t="s">
        <v>15</v>
      </c>
      <c r="D268" s="36" t="s">
        <v>112</v>
      </c>
      <c r="E268" s="31">
        <v>400</v>
      </c>
      <c r="F268" s="25">
        <v>0</v>
      </c>
      <c r="G268" s="25">
        <v>0</v>
      </c>
      <c r="H268" s="28"/>
    </row>
    <row r="269" spans="1:8" s="45" customFormat="1" ht="15" hidden="1" x14ac:dyDescent="0.2">
      <c r="A269" s="32" t="s">
        <v>28</v>
      </c>
      <c r="B269" s="23" t="s">
        <v>69</v>
      </c>
      <c r="C269" s="23" t="s">
        <v>15</v>
      </c>
      <c r="D269" s="36" t="s">
        <v>112</v>
      </c>
      <c r="E269" s="31">
        <v>800</v>
      </c>
      <c r="F269" s="25">
        <v>0</v>
      </c>
      <c r="G269" s="25">
        <v>0</v>
      </c>
      <c r="H269" s="28"/>
    </row>
    <row r="270" spans="1:8" s="44" customFormat="1" ht="31.5" x14ac:dyDescent="0.25">
      <c r="A270" s="34" t="s">
        <v>113</v>
      </c>
      <c r="B270" s="19" t="s">
        <v>69</v>
      </c>
      <c r="C270" s="19" t="s">
        <v>30</v>
      </c>
      <c r="D270" s="30"/>
      <c r="E270" s="30"/>
      <c r="F270" s="20">
        <f>F271+F277</f>
        <v>30825569</v>
      </c>
      <c r="G270" s="20">
        <f>G271+G277</f>
        <v>31087708.57</v>
      </c>
      <c r="H270" s="20">
        <f>H271+H277</f>
        <v>31398640.409999996</v>
      </c>
    </row>
    <row r="271" spans="1:8" s="45" customFormat="1" x14ac:dyDescent="0.25">
      <c r="A271" s="34" t="s">
        <v>95</v>
      </c>
      <c r="B271" s="19" t="s">
        <v>69</v>
      </c>
      <c r="C271" s="19" t="s">
        <v>30</v>
      </c>
      <c r="D271" s="35" t="s">
        <v>96</v>
      </c>
      <c r="E271" s="30"/>
      <c r="F271" s="24">
        <f>F272</f>
        <v>30665569</v>
      </c>
      <c r="G271" s="24">
        <f>G272</f>
        <v>31087708.57</v>
      </c>
      <c r="H271" s="24">
        <f>H272</f>
        <v>31398640.409999996</v>
      </c>
    </row>
    <row r="272" spans="1:8" s="45" customFormat="1" ht="15" x14ac:dyDescent="0.2">
      <c r="A272" s="236" t="s">
        <v>50</v>
      </c>
      <c r="B272" s="23" t="s">
        <v>69</v>
      </c>
      <c r="C272" s="23" t="s">
        <v>30</v>
      </c>
      <c r="D272" s="36" t="s">
        <v>98</v>
      </c>
      <c r="E272" s="31"/>
      <c r="F272" s="24">
        <f>SUM(F273:F276)</f>
        <v>30665569</v>
      </c>
      <c r="G272" s="24">
        <f>SUM(G273:G276)</f>
        <v>31087708.57</v>
      </c>
      <c r="H272" s="24">
        <f>SUM(H273:H276)</f>
        <v>31398640.409999996</v>
      </c>
    </row>
    <row r="273" spans="1:8" s="44" customFormat="1" ht="75" x14ac:dyDescent="0.2">
      <c r="A273" s="32" t="s">
        <v>22</v>
      </c>
      <c r="B273" s="23" t="s">
        <v>69</v>
      </c>
      <c r="C273" s="23" t="s">
        <v>30</v>
      </c>
      <c r="D273" s="36" t="s">
        <v>98</v>
      </c>
      <c r="E273" s="31">
        <v>100</v>
      </c>
      <c r="F273" s="28">
        <f>'Приложение 4'!G415</f>
        <v>25934801.149999999</v>
      </c>
      <c r="G273" s="28">
        <f>'Приложение 4'!H415</f>
        <v>26048452.670000002</v>
      </c>
      <c r="H273" s="28">
        <f>'Приложение 4'!I415</f>
        <v>26161814.899999999</v>
      </c>
    </row>
    <row r="274" spans="1:8" s="47" customFormat="1" ht="43.15" customHeight="1" x14ac:dyDescent="0.2">
      <c r="A274" s="22" t="s">
        <v>26</v>
      </c>
      <c r="B274" s="23" t="s">
        <v>69</v>
      </c>
      <c r="C274" s="23" t="s">
        <v>30</v>
      </c>
      <c r="D274" s="36" t="s">
        <v>98</v>
      </c>
      <c r="E274" s="31">
        <v>200</v>
      </c>
      <c r="F274" s="28">
        <f>'Приложение 4'!G416</f>
        <v>4730767.8499999996</v>
      </c>
      <c r="G274" s="28">
        <f>'Приложение 4'!H416</f>
        <v>5039255.9000000004</v>
      </c>
      <c r="H274" s="28">
        <f>'Приложение 4'!I416</f>
        <v>5236825.51</v>
      </c>
    </row>
    <row r="275" spans="1:8" s="47" customFormat="1" ht="15" hidden="1" x14ac:dyDescent="0.2">
      <c r="A275" s="32" t="s">
        <v>52</v>
      </c>
      <c r="B275" s="23" t="s">
        <v>69</v>
      </c>
      <c r="C275" s="23" t="s">
        <v>30</v>
      </c>
      <c r="D275" s="36" t="s">
        <v>98</v>
      </c>
      <c r="E275" s="31">
        <v>300</v>
      </c>
      <c r="F275" s="238">
        <v>0</v>
      </c>
      <c r="G275" s="238">
        <v>0</v>
      </c>
      <c r="H275" s="238">
        <v>0</v>
      </c>
    </row>
    <row r="276" spans="1:8" s="44" customFormat="1" ht="15" hidden="1" x14ac:dyDescent="0.2">
      <c r="A276" s="32" t="s">
        <v>28</v>
      </c>
      <c r="B276" s="23" t="s">
        <v>69</v>
      </c>
      <c r="C276" s="23" t="s">
        <v>30</v>
      </c>
      <c r="D276" s="36" t="s">
        <v>98</v>
      </c>
      <c r="E276" s="31">
        <v>800</v>
      </c>
      <c r="F276" s="28">
        <v>0</v>
      </c>
      <c r="G276" s="28">
        <v>0</v>
      </c>
      <c r="H276" s="28">
        <v>0</v>
      </c>
    </row>
    <row r="277" spans="1:8" s="44" customFormat="1" x14ac:dyDescent="0.25">
      <c r="A277" s="18" t="s">
        <v>18</v>
      </c>
      <c r="B277" s="19" t="s">
        <v>69</v>
      </c>
      <c r="C277" s="19" t="s">
        <v>30</v>
      </c>
      <c r="D277" s="19" t="s">
        <v>19</v>
      </c>
      <c r="E277" s="30"/>
      <c r="F277" s="42">
        <f t="shared" ref="F277:H278" si="33">F278</f>
        <v>160000</v>
      </c>
      <c r="G277" s="42">
        <f t="shared" si="33"/>
        <v>0</v>
      </c>
      <c r="H277" s="42">
        <f t="shared" si="33"/>
        <v>0</v>
      </c>
    </row>
    <row r="278" spans="1:8" s="44" customFormat="1" ht="15" x14ac:dyDescent="0.2">
      <c r="A278" s="22" t="s">
        <v>56</v>
      </c>
      <c r="B278" s="23" t="s">
        <v>69</v>
      </c>
      <c r="C278" s="23" t="s">
        <v>30</v>
      </c>
      <c r="D278" s="23" t="s">
        <v>38</v>
      </c>
      <c r="E278" s="31"/>
      <c r="F278" s="28">
        <f t="shared" si="33"/>
        <v>160000</v>
      </c>
      <c r="G278" s="28">
        <f t="shared" si="33"/>
        <v>0</v>
      </c>
      <c r="H278" s="28">
        <f t="shared" si="33"/>
        <v>0</v>
      </c>
    </row>
    <row r="279" spans="1:8" s="44" customFormat="1" ht="30" x14ac:dyDescent="0.2">
      <c r="A279" s="22" t="s">
        <v>26</v>
      </c>
      <c r="B279" s="23" t="s">
        <v>69</v>
      </c>
      <c r="C279" s="23" t="s">
        <v>30</v>
      </c>
      <c r="D279" s="23" t="s">
        <v>38</v>
      </c>
      <c r="E279" s="31">
        <v>200</v>
      </c>
      <c r="F279" s="28">
        <f>'Приложение 2'!F189</f>
        <v>160000</v>
      </c>
      <c r="G279" s="28">
        <f>'Приложение 2'!G189</f>
        <v>0</v>
      </c>
      <c r="H279" s="28">
        <f>'Приложение 2'!H189</f>
        <v>0</v>
      </c>
    </row>
    <row r="280" spans="1:8" s="44" customFormat="1" x14ac:dyDescent="0.25">
      <c r="A280" s="34" t="s">
        <v>114</v>
      </c>
      <c r="B280" s="19" t="s">
        <v>74</v>
      </c>
      <c r="C280" s="19"/>
      <c r="D280" s="36"/>
      <c r="E280" s="31"/>
      <c r="F280" s="42">
        <f t="shared" ref="F280:H283" si="34">F281</f>
        <v>34000000</v>
      </c>
      <c r="G280" s="42">
        <f t="shared" si="34"/>
        <v>34000000</v>
      </c>
      <c r="H280" s="42">
        <f t="shared" si="34"/>
        <v>34000000</v>
      </c>
    </row>
    <row r="281" spans="1:8" s="44" customFormat="1" x14ac:dyDescent="0.25">
      <c r="A281" s="34" t="s">
        <v>115</v>
      </c>
      <c r="B281" s="19" t="s">
        <v>74</v>
      </c>
      <c r="C281" s="19" t="s">
        <v>74</v>
      </c>
      <c r="D281" s="36"/>
      <c r="E281" s="31"/>
      <c r="F281" s="42">
        <f t="shared" si="34"/>
        <v>34000000</v>
      </c>
      <c r="G281" s="42">
        <f t="shared" si="34"/>
        <v>34000000</v>
      </c>
      <c r="H281" s="42">
        <f t="shared" si="34"/>
        <v>34000000</v>
      </c>
    </row>
    <row r="282" spans="1:8" s="44" customFormat="1" ht="47.25" x14ac:dyDescent="0.25">
      <c r="A282" s="18" t="s">
        <v>672</v>
      </c>
      <c r="B282" s="19" t="s">
        <v>74</v>
      </c>
      <c r="C282" s="19" t="s">
        <v>74</v>
      </c>
      <c r="D282" s="99" t="s">
        <v>116</v>
      </c>
      <c r="E282" s="31"/>
      <c r="F282" s="42">
        <f t="shared" si="34"/>
        <v>34000000</v>
      </c>
      <c r="G282" s="42">
        <f t="shared" si="34"/>
        <v>34000000</v>
      </c>
      <c r="H282" s="42">
        <f t="shared" si="34"/>
        <v>34000000</v>
      </c>
    </row>
    <row r="283" spans="1:8" s="45" customFormat="1" ht="30" x14ac:dyDescent="0.2">
      <c r="A283" s="22" t="s">
        <v>540</v>
      </c>
      <c r="B283" s="23" t="s">
        <v>74</v>
      </c>
      <c r="C283" s="23" t="s">
        <v>74</v>
      </c>
      <c r="D283" s="101" t="s">
        <v>117</v>
      </c>
      <c r="E283" s="31"/>
      <c r="F283" s="28">
        <f t="shared" si="34"/>
        <v>34000000</v>
      </c>
      <c r="G283" s="28">
        <f t="shared" si="34"/>
        <v>34000000</v>
      </c>
      <c r="H283" s="28">
        <f t="shared" si="34"/>
        <v>34000000</v>
      </c>
    </row>
    <row r="284" spans="1:8" s="44" customFormat="1" ht="30" x14ac:dyDescent="0.2">
      <c r="A284" s="22" t="s">
        <v>26</v>
      </c>
      <c r="B284" s="23" t="s">
        <v>74</v>
      </c>
      <c r="C284" s="23" t="s">
        <v>74</v>
      </c>
      <c r="D284" s="101" t="s">
        <v>117</v>
      </c>
      <c r="E284" s="31">
        <v>200</v>
      </c>
      <c r="F284" s="28">
        <f>'Приложение 4'!G428</f>
        <v>34000000</v>
      </c>
      <c r="G284" s="28">
        <f>'Приложение 4'!H428</f>
        <v>34000000</v>
      </c>
      <c r="H284" s="28">
        <f>'Приложение 4'!I428</f>
        <v>34000000</v>
      </c>
    </row>
    <row r="285" spans="1:8" s="44" customFormat="1" x14ac:dyDescent="0.25">
      <c r="A285" s="18" t="s">
        <v>118</v>
      </c>
      <c r="B285" s="19" t="s">
        <v>59</v>
      </c>
      <c r="C285" s="19"/>
      <c r="D285" s="19"/>
      <c r="E285" s="19"/>
      <c r="F285" s="20">
        <f>F286+F293+F306+F326</f>
        <v>105144630.56</v>
      </c>
      <c r="G285" s="20">
        <f>G286+G293+G306+G326</f>
        <v>98072445.280000001</v>
      </c>
      <c r="H285" s="20">
        <f>H286+H293+H306+H326</f>
        <v>101480088.30000001</v>
      </c>
    </row>
    <row r="286" spans="1:8" s="44" customFormat="1" x14ac:dyDescent="0.25">
      <c r="A286" s="18" t="s">
        <v>119</v>
      </c>
      <c r="B286" s="19" t="s">
        <v>59</v>
      </c>
      <c r="C286" s="19" t="s">
        <v>15</v>
      </c>
      <c r="D286" s="19"/>
      <c r="E286" s="19"/>
      <c r="F286" s="20">
        <f>F287+F290</f>
        <v>9837841</v>
      </c>
      <c r="G286" s="20">
        <f>G287+G290</f>
        <v>9494315</v>
      </c>
      <c r="H286" s="20">
        <f>H287+H290</f>
        <v>9494316</v>
      </c>
    </row>
    <row r="287" spans="1:8" s="45" customFormat="1" x14ac:dyDescent="0.25">
      <c r="A287" s="18" t="s">
        <v>120</v>
      </c>
      <c r="B287" s="19" t="s">
        <v>59</v>
      </c>
      <c r="C287" s="19" t="s">
        <v>15</v>
      </c>
      <c r="D287" s="19" t="s">
        <v>121</v>
      </c>
      <c r="E287" s="19"/>
      <c r="F287" s="20">
        <f t="shared" ref="F287:H288" si="35">F288</f>
        <v>5473526</v>
      </c>
      <c r="G287" s="20">
        <f t="shared" si="35"/>
        <v>5130000</v>
      </c>
      <c r="H287" s="20">
        <f t="shared" si="35"/>
        <v>5130001</v>
      </c>
    </row>
    <row r="288" spans="1:8" s="45" customFormat="1" ht="15" x14ac:dyDescent="0.2">
      <c r="A288" s="22" t="s">
        <v>50</v>
      </c>
      <c r="B288" s="23" t="s">
        <v>59</v>
      </c>
      <c r="C288" s="23" t="s">
        <v>15</v>
      </c>
      <c r="D288" s="23" t="s">
        <v>122</v>
      </c>
      <c r="E288" s="23"/>
      <c r="F288" s="24">
        <f t="shared" si="35"/>
        <v>5473526</v>
      </c>
      <c r="G288" s="24">
        <f t="shared" si="35"/>
        <v>5130000</v>
      </c>
      <c r="H288" s="24">
        <f t="shared" si="35"/>
        <v>5130001</v>
      </c>
    </row>
    <row r="289" spans="1:8" s="45" customFormat="1" ht="15" x14ac:dyDescent="0.2">
      <c r="A289" s="22" t="s">
        <v>52</v>
      </c>
      <c r="B289" s="23" t="s">
        <v>59</v>
      </c>
      <c r="C289" s="23" t="s">
        <v>15</v>
      </c>
      <c r="D289" s="23" t="s">
        <v>122</v>
      </c>
      <c r="E289" s="23" t="s">
        <v>53</v>
      </c>
      <c r="F289" s="24">
        <f>'Приложение 4'!G434</f>
        <v>5473526</v>
      </c>
      <c r="G289" s="24">
        <f>'Приложение 4'!H434</f>
        <v>5130000</v>
      </c>
      <c r="H289" s="24">
        <f>'Приложение 4'!I434</f>
        <v>5130001</v>
      </c>
    </row>
    <row r="290" spans="1:8" s="44" customFormat="1" x14ac:dyDescent="0.25">
      <c r="A290" s="18" t="s">
        <v>18</v>
      </c>
      <c r="B290" s="19" t="s">
        <v>59</v>
      </c>
      <c r="C290" s="19" t="s">
        <v>15</v>
      </c>
      <c r="D290" s="19" t="s">
        <v>19</v>
      </c>
      <c r="E290" s="19"/>
      <c r="F290" s="20">
        <f t="shared" ref="F290:H291" si="36">F291</f>
        <v>4364315</v>
      </c>
      <c r="G290" s="20">
        <f t="shared" si="36"/>
        <v>4364315</v>
      </c>
      <c r="H290" s="20">
        <f t="shared" si="36"/>
        <v>4364315</v>
      </c>
    </row>
    <row r="291" spans="1:8" s="45" customFormat="1" ht="15" x14ac:dyDescent="0.2">
      <c r="A291" s="22" t="s">
        <v>56</v>
      </c>
      <c r="B291" s="23" t="s">
        <v>59</v>
      </c>
      <c r="C291" s="23" t="s">
        <v>15</v>
      </c>
      <c r="D291" s="23" t="s">
        <v>38</v>
      </c>
      <c r="E291" s="23"/>
      <c r="F291" s="24">
        <f t="shared" si="36"/>
        <v>4364315</v>
      </c>
      <c r="G291" s="24">
        <f t="shared" si="36"/>
        <v>4364315</v>
      </c>
      <c r="H291" s="24">
        <f t="shared" si="36"/>
        <v>4364315</v>
      </c>
    </row>
    <row r="292" spans="1:8" s="44" customFormat="1" ht="15" x14ac:dyDescent="0.2">
      <c r="A292" s="22" t="s">
        <v>52</v>
      </c>
      <c r="B292" s="23" t="s">
        <v>59</v>
      </c>
      <c r="C292" s="23" t="s">
        <v>15</v>
      </c>
      <c r="D292" s="23" t="s">
        <v>38</v>
      </c>
      <c r="E292" s="23" t="s">
        <v>53</v>
      </c>
      <c r="F292" s="24">
        <f>'Приложение 2'!F195</f>
        <v>4364315</v>
      </c>
      <c r="G292" s="24">
        <f>'Приложение 2'!G195</f>
        <v>4364315</v>
      </c>
      <c r="H292" s="24">
        <f>'Приложение 2'!H195</f>
        <v>4364315</v>
      </c>
    </row>
    <row r="293" spans="1:8" s="44" customFormat="1" x14ac:dyDescent="0.25">
      <c r="A293" s="18" t="s">
        <v>123</v>
      </c>
      <c r="B293" s="19" t="s">
        <v>59</v>
      </c>
      <c r="C293" s="19" t="s">
        <v>25</v>
      </c>
      <c r="D293" s="19"/>
      <c r="E293" s="19"/>
      <c r="F293" s="20">
        <f>F294+F300</f>
        <v>32558307.120000001</v>
      </c>
      <c r="G293" s="20">
        <f t="shared" ref="G293:H293" si="37">G294+G300</f>
        <v>28981707.120000001</v>
      </c>
      <c r="H293" s="20">
        <f t="shared" si="37"/>
        <v>31232736</v>
      </c>
    </row>
    <row r="294" spans="1:8" s="33" customFormat="1" ht="47.25" x14ac:dyDescent="0.25">
      <c r="A294" s="34" t="s">
        <v>100</v>
      </c>
      <c r="B294" s="19" t="s">
        <v>59</v>
      </c>
      <c r="C294" s="19" t="s">
        <v>25</v>
      </c>
      <c r="D294" s="35" t="s">
        <v>101</v>
      </c>
      <c r="E294" s="19"/>
      <c r="F294" s="20">
        <f>F295</f>
        <v>9285000</v>
      </c>
      <c r="G294" s="20">
        <f>G295</f>
        <v>6908400</v>
      </c>
      <c r="H294" s="20">
        <f>H295</f>
        <v>6932736</v>
      </c>
    </row>
    <row r="295" spans="1:8" s="29" customFormat="1" ht="30.75" x14ac:dyDescent="0.25">
      <c r="A295" s="22" t="s">
        <v>149</v>
      </c>
      <c r="B295" s="23" t="s">
        <v>59</v>
      </c>
      <c r="C295" s="23" t="s">
        <v>25</v>
      </c>
      <c r="D295" s="36" t="s">
        <v>102</v>
      </c>
      <c r="E295" s="23"/>
      <c r="F295" s="24">
        <f>SUM(F296:F299)</f>
        <v>9285000</v>
      </c>
      <c r="G295" s="24">
        <f t="shared" ref="G295:H295" si="38">SUM(G296:G299)</f>
        <v>6908400</v>
      </c>
      <c r="H295" s="24">
        <f t="shared" si="38"/>
        <v>6932736</v>
      </c>
    </row>
    <row r="296" spans="1:8" s="29" customFormat="1" ht="30.75" x14ac:dyDescent="0.25">
      <c r="A296" s="32" t="s">
        <v>26</v>
      </c>
      <c r="B296" s="23" t="s">
        <v>59</v>
      </c>
      <c r="C296" s="23" t="s">
        <v>25</v>
      </c>
      <c r="D296" s="36" t="s">
        <v>102</v>
      </c>
      <c r="E296" s="23" t="s">
        <v>27</v>
      </c>
      <c r="F296" s="24">
        <f>'Приложение 4'!G443</f>
        <v>585000</v>
      </c>
      <c r="G296" s="24">
        <f>'Приложение 4'!H443</f>
        <v>608400</v>
      </c>
      <c r="H296" s="24">
        <f>'Приложение 4'!I443</f>
        <v>632736</v>
      </c>
    </row>
    <row r="297" spans="1:8" s="29" customFormat="1" x14ac:dyDescent="0.25">
      <c r="A297" s="22" t="s">
        <v>52</v>
      </c>
      <c r="B297" s="23" t="s">
        <v>59</v>
      </c>
      <c r="C297" s="23" t="s">
        <v>25</v>
      </c>
      <c r="D297" s="36" t="s">
        <v>102</v>
      </c>
      <c r="E297" s="23" t="s">
        <v>53</v>
      </c>
      <c r="F297" s="24">
        <f>'Приложение 4'!G447</f>
        <v>0</v>
      </c>
      <c r="G297" s="24">
        <f>'Приложение 4'!H447</f>
        <v>600000</v>
      </c>
      <c r="H297" s="24">
        <f>'Приложение 4'!I447</f>
        <v>600000</v>
      </c>
    </row>
    <row r="298" spans="1:8" s="29" customFormat="1" ht="30.75" x14ac:dyDescent="0.25">
      <c r="A298" s="32" t="s">
        <v>54</v>
      </c>
      <c r="B298" s="23" t="s">
        <v>59</v>
      </c>
      <c r="C298" s="23" t="s">
        <v>25</v>
      </c>
      <c r="D298" s="36" t="s">
        <v>102</v>
      </c>
      <c r="E298" s="23" t="s">
        <v>55</v>
      </c>
      <c r="F298" s="24">
        <f>'Приложение 4'!G445</f>
        <v>8100000</v>
      </c>
      <c r="G298" s="24">
        <f>'Приложение 4'!H445</f>
        <v>5700000</v>
      </c>
      <c r="H298" s="24">
        <f>'Приложение 4'!I445</f>
        <v>5700000</v>
      </c>
    </row>
    <row r="299" spans="1:8" s="29" customFormat="1" x14ac:dyDescent="0.25">
      <c r="A299" s="32" t="s">
        <v>28</v>
      </c>
      <c r="B299" s="23" t="s">
        <v>59</v>
      </c>
      <c r="C299" s="23" t="s">
        <v>25</v>
      </c>
      <c r="D299" s="36" t="s">
        <v>102</v>
      </c>
      <c r="E299" s="23" t="s">
        <v>29</v>
      </c>
      <c r="F299" s="24">
        <f>'Приложение 4'!G448</f>
        <v>600000</v>
      </c>
      <c r="G299" s="24">
        <f>'Приложение 4'!H448</f>
        <v>0</v>
      </c>
      <c r="H299" s="24">
        <f>'Приложение 4'!I448</f>
        <v>0</v>
      </c>
    </row>
    <row r="300" spans="1:8" s="29" customFormat="1" ht="47.25" x14ac:dyDescent="0.25">
      <c r="A300" s="18" t="s">
        <v>41</v>
      </c>
      <c r="B300" s="19" t="s">
        <v>59</v>
      </c>
      <c r="C300" s="19" t="s">
        <v>25</v>
      </c>
      <c r="D300" s="19" t="s">
        <v>42</v>
      </c>
      <c r="E300" s="19"/>
      <c r="F300" s="20">
        <f>F301+F304</f>
        <v>23273307.120000001</v>
      </c>
      <c r="G300" s="20">
        <f>G301+G304</f>
        <v>22073307.120000001</v>
      </c>
      <c r="H300" s="20">
        <f>H301+H304</f>
        <v>24300000</v>
      </c>
    </row>
    <row r="301" spans="1:8" s="29" customFormat="1" ht="60.75" x14ac:dyDescent="0.25">
      <c r="A301" s="22" t="s">
        <v>208</v>
      </c>
      <c r="B301" s="23" t="s">
        <v>59</v>
      </c>
      <c r="C301" s="23" t="s">
        <v>25</v>
      </c>
      <c r="D301" s="23" t="s">
        <v>44</v>
      </c>
      <c r="E301" s="23"/>
      <c r="F301" s="24">
        <f>SUM(F302:F303)</f>
        <v>20273307.120000001</v>
      </c>
      <c r="G301" s="24">
        <f>SUM(G302:G303)</f>
        <v>19073307.120000001</v>
      </c>
      <c r="H301" s="24">
        <f>SUM(H302:H303)</f>
        <v>21300000</v>
      </c>
    </row>
    <row r="302" spans="1:8" s="29" customFormat="1" x14ac:dyDescent="0.25">
      <c r="A302" s="22" t="s">
        <v>52</v>
      </c>
      <c r="B302" s="23" t="s">
        <v>59</v>
      </c>
      <c r="C302" s="23" t="s">
        <v>25</v>
      </c>
      <c r="D302" s="23" t="s">
        <v>44</v>
      </c>
      <c r="E302" s="23" t="s">
        <v>53</v>
      </c>
      <c r="F302" s="24">
        <f>'Приложение 4'!G452+'Приложение 4'!G456</f>
        <v>12300000</v>
      </c>
      <c r="G302" s="24">
        <f>'Приложение 4'!H452+'Приложение 4'!H456</f>
        <v>12300000</v>
      </c>
      <c r="H302" s="24">
        <f>'Приложение 4'!I452+'Приложение 4'!I456</f>
        <v>12300000</v>
      </c>
    </row>
    <row r="303" spans="1:8" s="29" customFormat="1" ht="30.75" x14ac:dyDescent="0.25">
      <c r="A303" s="22" t="s">
        <v>124</v>
      </c>
      <c r="B303" s="23" t="s">
        <v>59</v>
      </c>
      <c r="C303" s="23" t="s">
        <v>25</v>
      </c>
      <c r="D303" s="23" t="s">
        <v>44</v>
      </c>
      <c r="E303" s="23" t="s">
        <v>49</v>
      </c>
      <c r="F303" s="24">
        <f>'Приложение 4'!G454</f>
        <v>7973307.1200000001</v>
      </c>
      <c r="G303" s="24">
        <f>'Приложение 4'!H454</f>
        <v>6773307.1200000001</v>
      </c>
      <c r="H303" s="24">
        <f>'Приложение 4'!I454</f>
        <v>9000000</v>
      </c>
    </row>
    <row r="304" spans="1:8" s="29" customFormat="1" x14ac:dyDescent="0.25">
      <c r="A304" s="22" t="s">
        <v>50</v>
      </c>
      <c r="B304" s="23" t="s">
        <v>59</v>
      </c>
      <c r="C304" s="23" t="s">
        <v>25</v>
      </c>
      <c r="D304" s="23" t="s">
        <v>125</v>
      </c>
      <c r="E304" s="23"/>
      <c r="F304" s="24">
        <f>F305</f>
        <v>3000000</v>
      </c>
      <c r="G304" s="24">
        <f>G305</f>
        <v>3000000</v>
      </c>
      <c r="H304" s="24">
        <f>H305</f>
        <v>3000000</v>
      </c>
    </row>
    <row r="305" spans="1:8" s="29" customFormat="1" x14ac:dyDescent="0.25">
      <c r="A305" s="22" t="s">
        <v>52</v>
      </c>
      <c r="B305" s="23" t="s">
        <v>59</v>
      </c>
      <c r="C305" s="23" t="s">
        <v>25</v>
      </c>
      <c r="D305" s="23" t="s">
        <v>125</v>
      </c>
      <c r="E305" s="23" t="s">
        <v>53</v>
      </c>
      <c r="F305" s="24">
        <f>'Приложение 4'!G459</f>
        <v>3000000</v>
      </c>
      <c r="G305" s="24">
        <f>'Приложение 4'!H459</f>
        <v>3000000</v>
      </c>
      <c r="H305" s="24">
        <f>'Приложение 4'!I459</f>
        <v>3000000</v>
      </c>
    </row>
    <row r="306" spans="1:8" s="27" customFormat="1" x14ac:dyDescent="0.25">
      <c r="A306" s="18" t="s">
        <v>126</v>
      </c>
      <c r="B306" s="19" t="s">
        <v>59</v>
      </c>
      <c r="C306" s="19" t="s">
        <v>30</v>
      </c>
      <c r="D306" s="19"/>
      <c r="E306" s="19"/>
      <c r="F306" s="20">
        <f>F307+F312+F318+F321</f>
        <v>45076530.609999999</v>
      </c>
      <c r="G306" s="20">
        <f>G307+G312+G318+G321</f>
        <v>45897791.100000001</v>
      </c>
      <c r="H306" s="20">
        <f>H307+H312+H318+H321</f>
        <v>46958194.240000002</v>
      </c>
    </row>
    <row r="307" spans="1:8" ht="47.25" x14ac:dyDescent="0.25">
      <c r="A307" s="34" t="s">
        <v>100</v>
      </c>
      <c r="B307" s="19" t="s">
        <v>59</v>
      </c>
      <c r="C307" s="19" t="s">
        <v>30</v>
      </c>
      <c r="D307" s="35" t="s">
        <v>101</v>
      </c>
      <c r="E307" s="19"/>
      <c r="F307" s="20">
        <f t="shared" ref="F307:H308" si="39">F308</f>
        <v>2276711.13</v>
      </c>
      <c r="G307" s="20">
        <f t="shared" si="39"/>
        <v>2334791.1</v>
      </c>
      <c r="H307" s="20">
        <f t="shared" si="39"/>
        <v>2395194.2400000002</v>
      </c>
    </row>
    <row r="308" spans="1:8" x14ac:dyDescent="0.25">
      <c r="A308" s="22" t="s">
        <v>43</v>
      </c>
      <c r="B308" s="23" t="s">
        <v>59</v>
      </c>
      <c r="C308" s="23" t="s">
        <v>30</v>
      </c>
      <c r="D308" s="36" t="s">
        <v>102</v>
      </c>
      <c r="E308" s="23"/>
      <c r="F308" s="24">
        <f t="shared" si="39"/>
        <v>2276711.13</v>
      </c>
      <c r="G308" s="24">
        <f t="shared" si="39"/>
        <v>2334791.1</v>
      </c>
      <c r="H308" s="24">
        <f t="shared" si="39"/>
        <v>2395194.2400000002</v>
      </c>
    </row>
    <row r="309" spans="1:8" s="56" customFormat="1" x14ac:dyDescent="0.25">
      <c r="A309" s="22" t="s">
        <v>150</v>
      </c>
      <c r="B309" s="23" t="s">
        <v>59</v>
      </c>
      <c r="C309" s="23" t="s">
        <v>30</v>
      </c>
      <c r="D309" s="36" t="s">
        <v>102</v>
      </c>
      <c r="E309" s="23"/>
      <c r="F309" s="24">
        <f>SUM(F310:F311)</f>
        <v>2276711.13</v>
      </c>
      <c r="G309" s="24">
        <f>SUM(G310:G311)</f>
        <v>2334791.1</v>
      </c>
      <c r="H309" s="24">
        <f>SUM(H310:H311)</f>
        <v>2395194.2400000002</v>
      </c>
    </row>
    <row r="310" spans="1:8" ht="30.75" x14ac:dyDescent="0.25">
      <c r="A310" s="22" t="s">
        <v>26</v>
      </c>
      <c r="B310" s="23" t="s">
        <v>59</v>
      </c>
      <c r="C310" s="23" t="s">
        <v>30</v>
      </c>
      <c r="D310" s="36" t="s">
        <v>102</v>
      </c>
      <c r="E310" s="23" t="s">
        <v>27</v>
      </c>
      <c r="F310" s="28">
        <f>'Приложение 4'!G465</f>
        <v>1451999.13</v>
      </c>
      <c r="G310" s="28">
        <f>'Приложение 4'!H465</f>
        <v>1510079.1</v>
      </c>
      <c r="H310" s="28">
        <f>'Приложение 4'!I465</f>
        <v>1570482.24</v>
      </c>
    </row>
    <row r="311" spans="1:8" x14ac:dyDescent="0.25">
      <c r="A311" s="22" t="s">
        <v>52</v>
      </c>
      <c r="B311" s="23" t="s">
        <v>59</v>
      </c>
      <c r="C311" s="23" t="s">
        <v>30</v>
      </c>
      <c r="D311" s="36" t="s">
        <v>102</v>
      </c>
      <c r="E311" s="23" t="s">
        <v>53</v>
      </c>
      <c r="F311" s="28">
        <f>'Приложение 4'!G466</f>
        <v>824712</v>
      </c>
      <c r="G311" s="28">
        <f>'Приложение 4'!H466</f>
        <v>824712</v>
      </c>
      <c r="H311" s="28">
        <f>'Приложение 4'!I466</f>
        <v>824712</v>
      </c>
    </row>
    <row r="312" spans="1:8" x14ac:dyDescent="0.25">
      <c r="A312" s="18" t="s">
        <v>120</v>
      </c>
      <c r="B312" s="19" t="s">
        <v>59</v>
      </c>
      <c r="C312" s="19" t="s">
        <v>30</v>
      </c>
      <c r="D312" s="19" t="s">
        <v>121</v>
      </c>
      <c r="E312" s="19"/>
      <c r="F312" s="20">
        <f>F313+F316</f>
        <v>2063000</v>
      </c>
      <c r="G312" s="20">
        <f>G313+G316</f>
        <v>2063000</v>
      </c>
      <c r="H312" s="20">
        <f>H313+H316</f>
        <v>2063000</v>
      </c>
    </row>
    <row r="313" spans="1:8" ht="45.75" x14ac:dyDescent="0.25">
      <c r="A313" s="22" t="s">
        <v>195</v>
      </c>
      <c r="B313" s="23" t="s">
        <v>59</v>
      </c>
      <c r="C313" s="23" t="s">
        <v>30</v>
      </c>
      <c r="D313" s="23" t="s">
        <v>127</v>
      </c>
      <c r="E313" s="23"/>
      <c r="F313" s="24">
        <f>SUM(F314:F315)</f>
        <v>794000</v>
      </c>
      <c r="G313" s="24">
        <f>SUM(G314:G315)</f>
        <v>794000</v>
      </c>
      <c r="H313" s="24">
        <f>SUM(H314:H315)</f>
        <v>794000</v>
      </c>
    </row>
    <row r="314" spans="1:8" ht="30.75" x14ac:dyDescent="0.25">
      <c r="A314" s="22" t="s">
        <v>26</v>
      </c>
      <c r="B314" s="23" t="s">
        <v>59</v>
      </c>
      <c r="C314" s="23" t="s">
        <v>30</v>
      </c>
      <c r="D314" s="23" t="s">
        <v>127</v>
      </c>
      <c r="E314" s="23" t="s">
        <v>27</v>
      </c>
      <c r="F314" s="24">
        <f>'Приложение 4'!G470</f>
        <v>194000</v>
      </c>
      <c r="G314" s="24">
        <f>'Приложение 4'!H470</f>
        <v>194000</v>
      </c>
      <c r="H314" s="24">
        <f>'Приложение 4'!I470</f>
        <v>194000</v>
      </c>
    </row>
    <row r="315" spans="1:8" x14ac:dyDescent="0.25">
      <c r="A315" s="22" t="s">
        <v>52</v>
      </c>
      <c r="B315" s="23" t="s">
        <v>59</v>
      </c>
      <c r="C315" s="23" t="s">
        <v>30</v>
      </c>
      <c r="D315" s="23" t="s">
        <v>127</v>
      </c>
      <c r="E315" s="23" t="s">
        <v>53</v>
      </c>
      <c r="F315" s="24">
        <f>'Приложение 4'!G471</f>
        <v>600000</v>
      </c>
      <c r="G315" s="24">
        <f>'Приложение 4'!H471</f>
        <v>600000</v>
      </c>
      <c r="H315" s="24">
        <f>'Приложение 4'!I471</f>
        <v>600000</v>
      </c>
    </row>
    <row r="316" spans="1:8" x14ac:dyDescent="0.25">
      <c r="A316" s="22" t="s">
        <v>50</v>
      </c>
      <c r="B316" s="23" t="s">
        <v>59</v>
      </c>
      <c r="C316" s="23" t="s">
        <v>30</v>
      </c>
      <c r="D316" s="23" t="s">
        <v>122</v>
      </c>
      <c r="E316" s="23"/>
      <c r="F316" s="24">
        <f>F317</f>
        <v>1269000</v>
      </c>
      <c r="G316" s="24">
        <f>G317</f>
        <v>1269000</v>
      </c>
      <c r="H316" s="24">
        <f>H317</f>
        <v>1269000</v>
      </c>
    </row>
    <row r="317" spans="1:8" x14ac:dyDescent="0.25">
      <c r="A317" s="22" t="s">
        <v>52</v>
      </c>
      <c r="B317" s="23" t="s">
        <v>59</v>
      </c>
      <c r="C317" s="23" t="s">
        <v>30</v>
      </c>
      <c r="D317" s="23" t="s">
        <v>122</v>
      </c>
      <c r="E317" s="23" t="s">
        <v>53</v>
      </c>
      <c r="F317" s="24">
        <f>'Приложение 4'!G474</f>
        <v>1269000</v>
      </c>
      <c r="G317" s="24">
        <f>'Приложение 4'!H474</f>
        <v>1269000</v>
      </c>
      <c r="H317" s="24">
        <f>'Приложение 4'!I474</f>
        <v>1269000</v>
      </c>
    </row>
    <row r="318" spans="1:8" ht="47.25" x14ac:dyDescent="0.25">
      <c r="A318" s="18" t="s">
        <v>41</v>
      </c>
      <c r="B318" s="19" t="s">
        <v>59</v>
      </c>
      <c r="C318" s="19" t="s">
        <v>30</v>
      </c>
      <c r="D318" s="19" t="s">
        <v>42</v>
      </c>
      <c r="E318" s="19"/>
      <c r="F318" s="20">
        <f t="shared" ref="F318:H319" si="40">F319</f>
        <v>27236819.48</v>
      </c>
      <c r="G318" s="20">
        <f t="shared" si="40"/>
        <v>28000000</v>
      </c>
      <c r="H318" s="20">
        <f t="shared" si="40"/>
        <v>29000000</v>
      </c>
    </row>
    <row r="319" spans="1:8" ht="60.75" x14ac:dyDescent="0.25">
      <c r="A319" s="22" t="s">
        <v>208</v>
      </c>
      <c r="B319" s="23" t="s">
        <v>59</v>
      </c>
      <c r="C319" s="23" t="s">
        <v>30</v>
      </c>
      <c r="D319" s="23" t="s">
        <v>44</v>
      </c>
      <c r="E319" s="23"/>
      <c r="F319" s="24">
        <f t="shared" si="40"/>
        <v>27236819.48</v>
      </c>
      <c r="G319" s="24">
        <f t="shared" si="40"/>
        <v>28000000</v>
      </c>
      <c r="H319" s="24">
        <f t="shared" si="40"/>
        <v>29000000</v>
      </c>
    </row>
    <row r="320" spans="1:8" x14ac:dyDescent="0.25">
      <c r="A320" s="22" t="s">
        <v>52</v>
      </c>
      <c r="B320" s="23" t="s">
        <v>59</v>
      </c>
      <c r="C320" s="23" t="s">
        <v>30</v>
      </c>
      <c r="D320" s="23" t="s">
        <v>44</v>
      </c>
      <c r="E320" s="23" t="s">
        <v>53</v>
      </c>
      <c r="F320" s="24">
        <f>'Приложение 4'!G478</f>
        <v>27236819.48</v>
      </c>
      <c r="G320" s="24">
        <f>'Приложение 4'!H478</f>
        <v>28000000</v>
      </c>
      <c r="H320" s="24">
        <f>'Приложение 4'!I478</f>
        <v>29000000</v>
      </c>
    </row>
    <row r="321" spans="1:8" x14ac:dyDescent="0.25">
      <c r="A321" s="18" t="s">
        <v>18</v>
      </c>
      <c r="B321" s="19" t="s">
        <v>59</v>
      </c>
      <c r="C321" s="19" t="s">
        <v>30</v>
      </c>
      <c r="D321" s="19" t="s">
        <v>19</v>
      </c>
      <c r="E321" s="19"/>
      <c r="F321" s="20">
        <f>F322</f>
        <v>13500000</v>
      </c>
      <c r="G321" s="20">
        <f>G322</f>
        <v>13500000</v>
      </c>
      <c r="H321" s="20">
        <f>H322</f>
        <v>13500000</v>
      </c>
    </row>
    <row r="322" spans="1:8" x14ac:dyDescent="0.25">
      <c r="A322" s="22" t="s">
        <v>56</v>
      </c>
      <c r="B322" s="23" t="s">
        <v>59</v>
      </c>
      <c r="C322" s="23" t="s">
        <v>30</v>
      </c>
      <c r="D322" s="23" t="s">
        <v>38</v>
      </c>
      <c r="E322" s="23"/>
      <c r="F322" s="24">
        <f>F323+F324+F325</f>
        <v>13500000</v>
      </c>
      <c r="G322" s="24">
        <f>G323+G324+G325</f>
        <v>13500000</v>
      </c>
      <c r="H322" s="24">
        <f>H323+H324+H325</f>
        <v>13500000</v>
      </c>
    </row>
    <row r="323" spans="1:8" ht="30.75" x14ac:dyDescent="0.25">
      <c r="A323" s="22" t="s">
        <v>26</v>
      </c>
      <c r="B323" s="23" t="s">
        <v>59</v>
      </c>
      <c r="C323" s="23" t="s">
        <v>30</v>
      </c>
      <c r="D323" s="23" t="s">
        <v>38</v>
      </c>
      <c r="E323" s="23" t="s">
        <v>27</v>
      </c>
      <c r="F323" s="24">
        <f>'Приложение 2'!F207</f>
        <v>197734</v>
      </c>
      <c r="G323" s="24">
        <f>'Приложение 2'!G207</f>
        <v>197734</v>
      </c>
      <c r="H323" s="24">
        <f>'Приложение 2'!H207</f>
        <v>197734</v>
      </c>
    </row>
    <row r="324" spans="1:8" x14ac:dyDescent="0.25">
      <c r="A324" s="22" t="s">
        <v>52</v>
      </c>
      <c r="B324" s="23" t="s">
        <v>59</v>
      </c>
      <c r="C324" s="23" t="s">
        <v>30</v>
      </c>
      <c r="D324" s="23" t="s">
        <v>38</v>
      </c>
      <c r="E324" s="23" t="s">
        <v>53</v>
      </c>
      <c r="F324" s="24">
        <f>'Приложение 2'!F208</f>
        <v>13302266</v>
      </c>
      <c r="G324" s="24">
        <f>'Приложение 2'!G208</f>
        <v>13302266</v>
      </c>
      <c r="H324" s="24">
        <f>'Приложение 2'!H208</f>
        <v>13302266</v>
      </c>
    </row>
    <row r="325" spans="1:8" ht="30.75" x14ac:dyDescent="0.25">
      <c r="A325" s="22" t="s">
        <v>124</v>
      </c>
      <c r="B325" s="23" t="s">
        <v>59</v>
      </c>
      <c r="C325" s="23" t="s">
        <v>30</v>
      </c>
      <c r="D325" s="23" t="s">
        <v>38</v>
      </c>
      <c r="E325" s="23" t="s">
        <v>49</v>
      </c>
      <c r="F325" s="24"/>
      <c r="G325" s="24"/>
      <c r="H325" s="28"/>
    </row>
    <row r="326" spans="1:8" s="27" customFormat="1" x14ac:dyDescent="0.25">
      <c r="A326" s="18" t="s">
        <v>128</v>
      </c>
      <c r="B326" s="19" t="s">
        <v>59</v>
      </c>
      <c r="C326" s="19" t="s">
        <v>32</v>
      </c>
      <c r="D326" s="19"/>
      <c r="E326" s="19"/>
      <c r="F326" s="20">
        <f>F327+F332+F340</f>
        <v>17671951.829999998</v>
      </c>
      <c r="G326" s="20">
        <f>G327+G332+G340</f>
        <v>13698632.059999999</v>
      </c>
      <c r="H326" s="20">
        <f>H327+H332+H340</f>
        <v>13794842.059999999</v>
      </c>
    </row>
    <row r="327" spans="1:8" s="27" customFormat="1" ht="31.5" x14ac:dyDescent="0.25">
      <c r="A327" s="18" t="s">
        <v>129</v>
      </c>
      <c r="B327" s="19" t="s">
        <v>59</v>
      </c>
      <c r="C327" s="19" t="s">
        <v>32</v>
      </c>
      <c r="D327" s="19" t="s">
        <v>130</v>
      </c>
      <c r="E327" s="19"/>
      <c r="F327" s="20">
        <f>F328</f>
        <v>3173334.09</v>
      </c>
      <c r="G327" s="20">
        <f>G328</f>
        <v>2995900</v>
      </c>
      <c r="H327" s="20">
        <f>H328</f>
        <v>2995900</v>
      </c>
    </row>
    <row r="328" spans="1:8" s="27" customFormat="1" ht="30" x14ac:dyDescent="0.25">
      <c r="A328" s="239" t="s">
        <v>209</v>
      </c>
      <c r="B328" s="23" t="s">
        <v>59</v>
      </c>
      <c r="C328" s="23" t="s">
        <v>32</v>
      </c>
      <c r="D328" s="23" t="s">
        <v>131</v>
      </c>
      <c r="E328" s="23"/>
      <c r="F328" s="24">
        <f>SUM(F329:F331)</f>
        <v>3173334.09</v>
      </c>
      <c r="G328" s="24">
        <f>SUM(G329:G331)</f>
        <v>2995900</v>
      </c>
      <c r="H328" s="24">
        <f>SUM(H329:H331)</f>
        <v>2995900</v>
      </c>
    </row>
    <row r="329" spans="1:8" s="27" customFormat="1" ht="75" x14ac:dyDescent="0.25">
      <c r="A329" s="240" t="s">
        <v>22</v>
      </c>
      <c r="B329" s="23" t="s">
        <v>59</v>
      </c>
      <c r="C329" s="23" t="s">
        <v>32</v>
      </c>
      <c r="D329" s="23" t="s">
        <v>131</v>
      </c>
      <c r="E329" s="23" t="s">
        <v>23</v>
      </c>
      <c r="F329" s="28">
        <f>'Приложение 4'!G489</f>
        <v>272580</v>
      </c>
      <c r="G329" s="28">
        <f>'Приложение 4'!H489</f>
        <v>272580</v>
      </c>
      <c r="H329" s="28">
        <f>'Приложение 4'!I489</f>
        <v>272580</v>
      </c>
    </row>
    <row r="330" spans="1:8" s="27" customFormat="1" ht="30.75" x14ac:dyDescent="0.25">
      <c r="A330" s="22" t="s">
        <v>26</v>
      </c>
      <c r="B330" s="23" t="s">
        <v>59</v>
      </c>
      <c r="C330" s="23" t="s">
        <v>32</v>
      </c>
      <c r="D330" s="23" t="s">
        <v>131</v>
      </c>
      <c r="E330" s="23" t="s">
        <v>27</v>
      </c>
      <c r="F330" s="28">
        <f>'Приложение 4'!G490+'Приложение 4'!G493+'Приложение 4'!G495</f>
        <v>1766358.7100000002</v>
      </c>
      <c r="G330" s="28">
        <f>'Приложение 4'!H490+'Приложение 4'!H493+'Приложение 4'!H495</f>
        <v>1268924.6200000001</v>
      </c>
      <c r="H330" s="28">
        <f>'Приложение 4'!I490+'Приложение 4'!I493+'Приложение 4'!I495</f>
        <v>1268924.6200000001</v>
      </c>
    </row>
    <row r="331" spans="1:8" s="27" customFormat="1" x14ac:dyDescent="0.25">
      <c r="A331" s="22" t="s">
        <v>52</v>
      </c>
      <c r="B331" s="23" t="s">
        <v>59</v>
      </c>
      <c r="C331" s="23" t="s">
        <v>32</v>
      </c>
      <c r="D331" s="23" t="s">
        <v>131</v>
      </c>
      <c r="E331" s="23" t="s">
        <v>53</v>
      </c>
      <c r="F331" s="28">
        <f>'Приложение 4'!G491+'Приложение 4'!G496</f>
        <v>1134395.3799999999</v>
      </c>
      <c r="G331" s="28">
        <f>'Приложение 4'!H491+'Приложение 4'!H496</f>
        <v>1454395.38</v>
      </c>
      <c r="H331" s="28">
        <f>'Приложение 4'!I491+'Приложение 4'!I496</f>
        <v>1454395.38</v>
      </c>
    </row>
    <row r="332" spans="1:8" x14ac:dyDescent="0.25">
      <c r="A332" s="18" t="s">
        <v>120</v>
      </c>
      <c r="B332" s="19" t="s">
        <v>59</v>
      </c>
      <c r="C332" s="19" t="s">
        <v>32</v>
      </c>
      <c r="D332" s="19" t="s">
        <v>121</v>
      </c>
      <c r="E332" s="19"/>
      <c r="F332" s="20">
        <f>F333+F338</f>
        <v>3034669.83</v>
      </c>
      <c r="G332" s="20">
        <f>G333+G338</f>
        <v>4167343.44</v>
      </c>
      <c r="H332" s="20">
        <f>H333+H338</f>
        <v>4167343.44</v>
      </c>
    </row>
    <row r="333" spans="1:8" ht="45.75" x14ac:dyDescent="0.25">
      <c r="A333" s="22" t="s">
        <v>195</v>
      </c>
      <c r="B333" s="23" t="s">
        <v>59</v>
      </c>
      <c r="C333" s="23" t="s">
        <v>32</v>
      </c>
      <c r="D333" s="23" t="s">
        <v>127</v>
      </c>
      <c r="E333" s="23"/>
      <c r="F333" s="24">
        <f>SUM(F334:F337)</f>
        <v>998195.83000000007</v>
      </c>
      <c r="G333" s="24">
        <f>SUM(G334:G337)</f>
        <v>1787343.44</v>
      </c>
      <c r="H333" s="24">
        <f>SUM(H334:H337)</f>
        <v>1787343.44</v>
      </c>
    </row>
    <row r="334" spans="1:8" ht="75.75" hidden="1" x14ac:dyDescent="0.25">
      <c r="A334" s="22" t="s">
        <v>22</v>
      </c>
      <c r="B334" s="23" t="s">
        <v>59</v>
      </c>
      <c r="C334" s="23" t="s">
        <v>32</v>
      </c>
      <c r="D334" s="23" t="s">
        <v>127</v>
      </c>
      <c r="E334" s="23" t="s">
        <v>23</v>
      </c>
      <c r="F334" s="24">
        <v>0</v>
      </c>
      <c r="G334" s="24">
        <v>0</v>
      </c>
      <c r="H334" s="28">
        <v>0</v>
      </c>
    </row>
    <row r="335" spans="1:8" ht="30.75" x14ac:dyDescent="0.25">
      <c r="A335" s="22" t="s">
        <v>26</v>
      </c>
      <c r="B335" s="23" t="s">
        <v>59</v>
      </c>
      <c r="C335" s="23" t="s">
        <v>32</v>
      </c>
      <c r="D335" s="23" t="s">
        <v>127</v>
      </c>
      <c r="E335" s="23" t="s">
        <v>27</v>
      </c>
      <c r="F335" s="28">
        <f>'Приложение 4'!G501</f>
        <v>827638.63</v>
      </c>
      <c r="G335" s="28">
        <f>'Приложение 4'!H501</f>
        <v>1609963.95</v>
      </c>
      <c r="H335" s="28">
        <f>'Приложение 4'!I501</f>
        <v>1609963.95</v>
      </c>
    </row>
    <row r="336" spans="1:8" x14ac:dyDescent="0.25">
      <c r="A336" s="22" t="s">
        <v>52</v>
      </c>
      <c r="B336" s="23" t="s">
        <v>59</v>
      </c>
      <c r="C336" s="23" t="s">
        <v>32</v>
      </c>
      <c r="D336" s="23" t="s">
        <v>127</v>
      </c>
      <c r="E336" s="23" t="s">
        <v>53</v>
      </c>
      <c r="F336" s="28">
        <f>'Приложение 4'!G502</f>
        <v>170557.2</v>
      </c>
      <c r="G336" s="28">
        <f>'Приложение 4'!H502</f>
        <v>177379.49</v>
      </c>
      <c r="H336" s="28">
        <f>'Приложение 4'!I502</f>
        <v>177379.49</v>
      </c>
    </row>
    <row r="337" spans="1:9" hidden="1" x14ac:dyDescent="0.25">
      <c r="A337" s="22" t="s">
        <v>28</v>
      </c>
      <c r="B337" s="23" t="s">
        <v>59</v>
      </c>
      <c r="C337" s="23" t="s">
        <v>32</v>
      </c>
      <c r="D337" s="23" t="s">
        <v>127</v>
      </c>
      <c r="E337" s="23" t="s">
        <v>29</v>
      </c>
      <c r="F337" s="24">
        <v>0</v>
      </c>
      <c r="G337" s="24">
        <v>0</v>
      </c>
      <c r="H337" s="28">
        <v>0</v>
      </c>
    </row>
    <row r="338" spans="1:9" x14ac:dyDescent="0.25">
      <c r="A338" s="22" t="s">
        <v>50</v>
      </c>
      <c r="B338" s="23" t="s">
        <v>59</v>
      </c>
      <c r="C338" s="23" t="s">
        <v>32</v>
      </c>
      <c r="D338" s="23" t="s">
        <v>122</v>
      </c>
      <c r="E338" s="23"/>
      <c r="F338" s="24">
        <f>F339</f>
        <v>2036474</v>
      </c>
      <c r="G338" s="24">
        <f>G339</f>
        <v>2380000</v>
      </c>
      <c r="H338" s="24">
        <f>H339</f>
        <v>2380000</v>
      </c>
    </row>
    <row r="339" spans="1:9" x14ac:dyDescent="0.25">
      <c r="A339" s="22" t="s">
        <v>52</v>
      </c>
      <c r="B339" s="23" t="s">
        <v>59</v>
      </c>
      <c r="C339" s="23" t="s">
        <v>32</v>
      </c>
      <c r="D339" s="23" t="s">
        <v>122</v>
      </c>
      <c r="E339" s="23" t="s">
        <v>53</v>
      </c>
      <c r="F339" s="24">
        <f>'Приложение 4'!G506</f>
        <v>2036474</v>
      </c>
      <c r="G339" s="24">
        <f>'Приложение 4'!H506</f>
        <v>2380000</v>
      </c>
      <c r="H339" s="24">
        <f>'Приложение 4'!I506</f>
        <v>2380000</v>
      </c>
    </row>
    <row r="340" spans="1:9" x14ac:dyDescent="0.25">
      <c r="A340" s="18" t="s">
        <v>18</v>
      </c>
      <c r="B340" s="19" t="s">
        <v>59</v>
      </c>
      <c r="C340" s="19" t="s">
        <v>32</v>
      </c>
      <c r="D340" s="19" t="s">
        <v>19</v>
      </c>
      <c r="E340" s="23"/>
      <c r="F340" s="20">
        <f>F341+F343</f>
        <v>11463947.91</v>
      </c>
      <c r="G340" s="20">
        <f>G341+G343</f>
        <v>6535388.6200000001</v>
      </c>
      <c r="H340" s="20">
        <f>H341+H343</f>
        <v>6631598.6200000001</v>
      </c>
    </row>
    <row r="341" spans="1:9" ht="30.75" x14ac:dyDescent="0.25">
      <c r="A341" s="22" t="s">
        <v>20</v>
      </c>
      <c r="B341" s="23" t="s">
        <v>59</v>
      </c>
      <c r="C341" s="23" t="s">
        <v>32</v>
      </c>
      <c r="D341" s="23" t="s">
        <v>21</v>
      </c>
      <c r="E341" s="23"/>
      <c r="F341" s="24">
        <f>F342</f>
        <v>4611188.62</v>
      </c>
      <c r="G341" s="24">
        <f>G342</f>
        <v>4611188.62</v>
      </c>
      <c r="H341" s="24">
        <f>H342</f>
        <v>4611188.62</v>
      </c>
    </row>
    <row r="342" spans="1:9" ht="75.75" x14ac:dyDescent="0.25">
      <c r="A342" s="22" t="s">
        <v>22</v>
      </c>
      <c r="B342" s="23" t="s">
        <v>59</v>
      </c>
      <c r="C342" s="23" t="s">
        <v>32</v>
      </c>
      <c r="D342" s="23" t="s">
        <v>21</v>
      </c>
      <c r="E342" s="23" t="s">
        <v>23</v>
      </c>
      <c r="F342" s="24">
        <f>'Приложение 2'!F214</f>
        <v>4611188.62</v>
      </c>
      <c r="G342" s="24">
        <f>'Приложение 2'!G214</f>
        <v>4611188.62</v>
      </c>
      <c r="H342" s="24">
        <f>'Приложение 2'!H214</f>
        <v>4611188.62</v>
      </c>
    </row>
    <row r="343" spans="1:9" x14ac:dyDescent="0.25">
      <c r="A343" s="22" t="s">
        <v>56</v>
      </c>
      <c r="B343" s="23" t="s">
        <v>59</v>
      </c>
      <c r="C343" s="23" t="s">
        <v>32</v>
      </c>
      <c r="D343" s="23" t="s">
        <v>38</v>
      </c>
      <c r="E343" s="23"/>
      <c r="F343" s="24">
        <f>SUM(F344:F344)</f>
        <v>6852759.29</v>
      </c>
      <c r="G343" s="24">
        <f>SUM(G344:G344)</f>
        <v>1924200</v>
      </c>
      <c r="H343" s="24">
        <f>SUM(H344:H344)</f>
        <v>2020410</v>
      </c>
    </row>
    <row r="344" spans="1:9" x14ac:dyDescent="0.25">
      <c r="A344" s="22" t="s">
        <v>52</v>
      </c>
      <c r="B344" s="23" t="s">
        <v>59</v>
      </c>
      <c r="C344" s="23" t="s">
        <v>32</v>
      </c>
      <c r="D344" s="23" t="s">
        <v>38</v>
      </c>
      <c r="E344" s="23" t="s">
        <v>53</v>
      </c>
      <c r="F344" s="24">
        <f>'Приложение 2'!F222+'Приложение 2'!F219+'Приложение 2'!F217</f>
        <v>6852759.29</v>
      </c>
      <c r="G344" s="24">
        <f>'Приложение 2'!G222+'Приложение 2'!G219+'Приложение 2'!G217</f>
        <v>1924200</v>
      </c>
      <c r="H344" s="24">
        <f>'Приложение 2'!H222+'Приложение 2'!H219+'Приложение 2'!H217</f>
        <v>2020410</v>
      </c>
    </row>
    <row r="345" spans="1:9" x14ac:dyDescent="0.25">
      <c r="A345" s="18" t="s">
        <v>132</v>
      </c>
      <c r="B345" s="19" t="s">
        <v>36</v>
      </c>
      <c r="C345" s="19"/>
      <c r="D345" s="19"/>
      <c r="E345" s="19"/>
      <c r="F345" s="20">
        <f>F346+F361</f>
        <v>219769458.55000001</v>
      </c>
      <c r="G345" s="20">
        <f>G346+G361</f>
        <v>194250511.13999999</v>
      </c>
      <c r="H345" s="20">
        <f>H346+H361</f>
        <v>195598580.81</v>
      </c>
    </row>
    <row r="346" spans="1:9" x14ac:dyDescent="0.25">
      <c r="A346" s="18" t="s">
        <v>133</v>
      </c>
      <c r="B346" s="19" t="s">
        <v>36</v>
      </c>
      <c r="C346" s="19" t="s">
        <v>15</v>
      </c>
      <c r="D346" s="19"/>
      <c r="E346" s="19"/>
      <c r="F346" s="20">
        <f>F347+F356</f>
        <v>176044654.55000001</v>
      </c>
      <c r="G346" s="20">
        <f>G347+G356</f>
        <v>150525707.13999999</v>
      </c>
      <c r="H346" s="20">
        <f>H347+H356</f>
        <v>151873776.81</v>
      </c>
    </row>
    <row r="347" spans="1:9" ht="31.5" x14ac:dyDescent="0.25">
      <c r="A347" s="18" t="s">
        <v>134</v>
      </c>
      <c r="B347" s="19" t="s">
        <v>36</v>
      </c>
      <c r="C347" s="19" t="s">
        <v>15</v>
      </c>
      <c r="D347" s="19" t="s">
        <v>135</v>
      </c>
      <c r="E347" s="19"/>
      <c r="F347" s="20">
        <f>F348+F351</f>
        <v>159109839.68000001</v>
      </c>
      <c r="G347" s="20">
        <f>G348+G351</f>
        <v>150525707.13999999</v>
      </c>
      <c r="H347" s="20">
        <f>H348+H351</f>
        <v>151873776.81</v>
      </c>
    </row>
    <row r="348" spans="1:9" x14ac:dyDescent="0.25">
      <c r="A348" s="22" t="s">
        <v>194</v>
      </c>
      <c r="B348" s="23" t="s">
        <v>36</v>
      </c>
      <c r="C348" s="23" t="s">
        <v>15</v>
      </c>
      <c r="D348" s="23" t="s">
        <v>136</v>
      </c>
      <c r="E348" s="23"/>
      <c r="F348" s="24">
        <f>SUM(F349:F350)</f>
        <v>18438900</v>
      </c>
      <c r="G348" s="24">
        <f>SUM(G349:G350)</f>
        <v>17500000</v>
      </c>
      <c r="H348" s="24">
        <f>SUM(H349:H350)</f>
        <v>17500000</v>
      </c>
    </row>
    <row r="349" spans="1:9" ht="75.75" x14ac:dyDescent="0.25">
      <c r="A349" s="22" t="s">
        <v>22</v>
      </c>
      <c r="B349" s="23" t="s">
        <v>36</v>
      </c>
      <c r="C349" s="23" t="s">
        <v>15</v>
      </c>
      <c r="D349" s="23" t="s">
        <v>136</v>
      </c>
      <c r="E349" s="23" t="s">
        <v>23</v>
      </c>
      <c r="F349" s="24">
        <f>'Приложение 4'!G525+'Приложение 4'!G528</f>
        <v>900000</v>
      </c>
      <c r="G349" s="24">
        <f>'Приложение 4'!H525+'Приложение 4'!H528</f>
        <v>900000</v>
      </c>
      <c r="H349" s="24">
        <f>'Приложение 4'!I525+'Приложение 4'!I528</f>
        <v>900000</v>
      </c>
    </row>
    <row r="350" spans="1:9" ht="30.75" x14ac:dyDescent="0.25">
      <c r="A350" s="288" t="s">
        <v>26</v>
      </c>
      <c r="B350" s="57" t="s">
        <v>36</v>
      </c>
      <c r="C350" s="57" t="s">
        <v>15</v>
      </c>
      <c r="D350" s="57" t="s">
        <v>136</v>
      </c>
      <c r="E350" s="57" t="s">
        <v>27</v>
      </c>
      <c r="F350" s="58">
        <f>'Приложение 4'!G523+'Приложение 4'!G526+'Приложение 4'!G529</f>
        <v>17538900</v>
      </c>
      <c r="G350" s="58">
        <f>'Приложение 4'!H523+'Приложение 4'!H526+'Приложение 4'!H529</f>
        <v>16600000</v>
      </c>
      <c r="H350" s="58">
        <f>'Приложение 4'!I523+'Приложение 4'!I526+'Приложение 4'!I529</f>
        <v>16600000</v>
      </c>
      <c r="I350" s="229"/>
    </row>
    <row r="351" spans="1:9" x14ac:dyDescent="0.25">
      <c r="A351" s="22" t="s">
        <v>50</v>
      </c>
      <c r="B351" s="23" t="s">
        <v>36</v>
      </c>
      <c r="C351" s="23" t="s">
        <v>15</v>
      </c>
      <c r="D351" s="23" t="s">
        <v>137</v>
      </c>
      <c r="E351" s="23"/>
      <c r="F351" s="24">
        <f>SUM(F352:F355)</f>
        <v>140670939.68000001</v>
      </c>
      <c r="G351" s="24">
        <f>SUM(G352:G355)</f>
        <v>133025707.14</v>
      </c>
      <c r="H351" s="24">
        <f>SUM(H352:H355)</f>
        <v>134373776.81</v>
      </c>
      <c r="I351" s="83"/>
    </row>
    <row r="352" spans="1:9" ht="75.75" x14ac:dyDescent="0.25">
      <c r="A352" s="22" t="s">
        <v>22</v>
      </c>
      <c r="B352" s="23" t="s">
        <v>36</v>
      </c>
      <c r="C352" s="23" t="s">
        <v>15</v>
      </c>
      <c r="D352" s="23" t="s">
        <v>137</v>
      </c>
      <c r="E352" s="23" t="s">
        <v>23</v>
      </c>
      <c r="F352" s="28">
        <f>'Приложение 4'!G532</f>
        <v>94842763.099999994</v>
      </c>
      <c r="G352" s="28">
        <f>'Приложение 4'!H532</f>
        <v>95078341</v>
      </c>
      <c r="H352" s="28">
        <f>'Приложение 4'!I532</f>
        <v>95078341</v>
      </c>
      <c r="I352" s="247"/>
    </row>
    <row r="353" spans="1:9" ht="30.75" x14ac:dyDescent="0.25">
      <c r="A353" s="22" t="s">
        <v>26</v>
      </c>
      <c r="B353" s="23" t="s">
        <v>36</v>
      </c>
      <c r="C353" s="23" t="s">
        <v>15</v>
      </c>
      <c r="D353" s="23" t="s">
        <v>137</v>
      </c>
      <c r="E353" s="23" t="s">
        <v>27</v>
      </c>
      <c r="F353" s="28">
        <f>'Приложение 4'!G533</f>
        <v>42544845.68</v>
      </c>
      <c r="G353" s="28">
        <f>'Приложение 4'!H533</f>
        <v>35083198.140000001</v>
      </c>
      <c r="H353" s="28">
        <f>'Приложение 4'!I533</f>
        <v>36431267.809999995</v>
      </c>
      <c r="I353" s="247"/>
    </row>
    <row r="354" spans="1:9" x14ac:dyDescent="0.25">
      <c r="A354" s="22" t="s">
        <v>52</v>
      </c>
      <c r="B354" s="23" t="s">
        <v>36</v>
      </c>
      <c r="C354" s="23" t="s">
        <v>15</v>
      </c>
      <c r="D354" s="23" t="s">
        <v>137</v>
      </c>
      <c r="E354" s="23" t="s">
        <v>53</v>
      </c>
      <c r="F354" s="28">
        <f>'Приложение 4'!G534</f>
        <v>419162.9</v>
      </c>
      <c r="G354" s="28">
        <f>'Приложение 4'!H534</f>
        <v>0</v>
      </c>
      <c r="H354" s="28">
        <f>'Приложение 4'!I534</f>
        <v>0</v>
      </c>
      <c r="I354" s="83"/>
    </row>
    <row r="355" spans="1:9" x14ac:dyDescent="0.25">
      <c r="A355" s="22" t="s">
        <v>28</v>
      </c>
      <c r="B355" s="23" t="s">
        <v>36</v>
      </c>
      <c r="C355" s="23" t="s">
        <v>15</v>
      </c>
      <c r="D355" s="23" t="s">
        <v>137</v>
      </c>
      <c r="E355" s="23" t="s">
        <v>29</v>
      </c>
      <c r="F355" s="28">
        <f>'Приложение 4'!G535</f>
        <v>2864168</v>
      </c>
      <c r="G355" s="28">
        <f>'Приложение 4'!H535</f>
        <v>2864168</v>
      </c>
      <c r="H355" s="28">
        <f>'Приложение 4'!I535</f>
        <v>2864168</v>
      </c>
      <c r="I355" s="83"/>
    </row>
    <row r="356" spans="1:9" s="27" customFormat="1" x14ac:dyDescent="0.25">
      <c r="A356" s="286" t="s">
        <v>18</v>
      </c>
      <c r="B356" s="61" t="s">
        <v>36</v>
      </c>
      <c r="C356" s="61" t="s">
        <v>15</v>
      </c>
      <c r="D356" s="61" t="s">
        <v>19</v>
      </c>
      <c r="E356" s="61"/>
      <c r="F356" s="63">
        <f>F357</f>
        <v>16934814.869999997</v>
      </c>
      <c r="G356" s="63">
        <f>G357</f>
        <v>0</v>
      </c>
      <c r="H356" s="20">
        <f>H357</f>
        <v>0</v>
      </c>
    </row>
    <row r="357" spans="1:9" x14ac:dyDescent="0.25">
      <c r="A357" s="22" t="s">
        <v>56</v>
      </c>
      <c r="B357" s="23" t="s">
        <v>36</v>
      </c>
      <c r="C357" s="23" t="s">
        <v>15</v>
      </c>
      <c r="D357" s="23" t="s">
        <v>38</v>
      </c>
      <c r="E357" s="23"/>
      <c r="F357" s="24">
        <f>SUM(F358:F360)</f>
        <v>16934814.869999997</v>
      </c>
      <c r="G357" s="24">
        <f t="shared" ref="G357:H357" si="41">SUM(G358:G360)</f>
        <v>0</v>
      </c>
      <c r="H357" s="24">
        <f t="shared" si="41"/>
        <v>0</v>
      </c>
    </row>
    <row r="358" spans="1:9" ht="30.75" x14ac:dyDescent="0.25">
      <c r="A358" s="22" t="s">
        <v>26</v>
      </c>
      <c r="B358" s="23" t="s">
        <v>36</v>
      </c>
      <c r="C358" s="23" t="s">
        <v>15</v>
      </c>
      <c r="D358" s="23" t="s">
        <v>38</v>
      </c>
      <c r="E358" s="23" t="s">
        <v>27</v>
      </c>
      <c r="F358" s="24">
        <f>'Приложение 2'!F228</f>
        <v>16550168.049999999</v>
      </c>
      <c r="G358" s="24">
        <f>'Приложение 2'!G228</f>
        <v>0</v>
      </c>
      <c r="H358" s="24">
        <f>'Приложение 2'!H228</f>
        <v>0</v>
      </c>
    </row>
    <row r="359" spans="1:9" hidden="1" x14ac:dyDescent="0.25">
      <c r="A359" s="288" t="s">
        <v>52</v>
      </c>
      <c r="B359" s="57" t="s">
        <v>36</v>
      </c>
      <c r="C359" s="57" t="s">
        <v>15</v>
      </c>
      <c r="D359" s="57" t="s">
        <v>38</v>
      </c>
      <c r="E359" s="57" t="s">
        <v>53</v>
      </c>
      <c r="F359" s="58"/>
      <c r="G359" s="58"/>
      <c r="H359" s="28"/>
      <c r="I359" s="83"/>
    </row>
    <row r="360" spans="1:9" ht="30.75" x14ac:dyDescent="0.25">
      <c r="A360" s="288" t="s">
        <v>124</v>
      </c>
      <c r="B360" s="57" t="s">
        <v>36</v>
      </c>
      <c r="C360" s="23" t="s">
        <v>15</v>
      </c>
      <c r="D360" s="23" t="s">
        <v>38</v>
      </c>
      <c r="E360" s="57" t="s">
        <v>49</v>
      </c>
      <c r="F360" s="58">
        <f>'Приложение 2'!F230</f>
        <v>384646.82</v>
      </c>
      <c r="G360" s="58">
        <f>'Приложение 2'!G230</f>
        <v>0</v>
      </c>
      <c r="H360" s="58">
        <f>'Приложение 2'!H230</f>
        <v>0</v>
      </c>
      <c r="I360" s="83"/>
    </row>
    <row r="361" spans="1:9" x14ac:dyDescent="0.25">
      <c r="A361" s="18" t="s">
        <v>152</v>
      </c>
      <c r="B361" s="19" t="s">
        <v>36</v>
      </c>
      <c r="C361" s="19" t="s">
        <v>25</v>
      </c>
      <c r="D361" s="19"/>
      <c r="E361" s="19"/>
      <c r="F361" s="20">
        <f t="shared" ref="F361:H362" si="42">F362</f>
        <v>43724804</v>
      </c>
      <c r="G361" s="20">
        <f t="shared" si="42"/>
        <v>43724804</v>
      </c>
      <c r="H361" s="20">
        <f t="shared" si="42"/>
        <v>43724804</v>
      </c>
      <c r="I361" s="83"/>
    </row>
    <row r="362" spans="1:9" s="27" customFormat="1" ht="31.5" x14ac:dyDescent="0.25">
      <c r="A362" s="18" t="s">
        <v>134</v>
      </c>
      <c r="B362" s="19" t="s">
        <v>36</v>
      </c>
      <c r="C362" s="19" t="s">
        <v>25</v>
      </c>
      <c r="D362" s="19" t="s">
        <v>135</v>
      </c>
      <c r="E362" s="19"/>
      <c r="F362" s="20">
        <f t="shared" si="42"/>
        <v>43724804</v>
      </c>
      <c r="G362" s="20">
        <f t="shared" si="42"/>
        <v>43724804</v>
      </c>
      <c r="H362" s="20">
        <f t="shared" si="42"/>
        <v>43724804</v>
      </c>
      <c r="I362" s="94"/>
    </row>
    <row r="363" spans="1:9" x14ac:dyDescent="0.25">
      <c r="A363" s="22" t="s">
        <v>50</v>
      </c>
      <c r="B363" s="23" t="s">
        <v>36</v>
      </c>
      <c r="C363" s="23" t="s">
        <v>25</v>
      </c>
      <c r="D363" s="23" t="s">
        <v>137</v>
      </c>
      <c r="E363" s="23"/>
      <c r="F363" s="24">
        <f>SUM(F364:F364)</f>
        <v>43724804</v>
      </c>
      <c r="G363" s="24">
        <f>SUM(G364:G364)</f>
        <v>43724804</v>
      </c>
      <c r="H363" s="24">
        <f>SUM(H364:H364)</f>
        <v>43724804</v>
      </c>
      <c r="I363" s="83"/>
    </row>
    <row r="364" spans="1:9" ht="75.75" x14ac:dyDescent="0.25">
      <c r="A364" s="22" t="s">
        <v>22</v>
      </c>
      <c r="B364" s="23" t="s">
        <v>36</v>
      </c>
      <c r="C364" s="23" t="s">
        <v>25</v>
      </c>
      <c r="D364" s="23" t="s">
        <v>137</v>
      </c>
      <c r="E364" s="23" t="s">
        <v>23</v>
      </c>
      <c r="F364" s="24">
        <f>'Приложение 4'!G546</f>
        <v>43724804</v>
      </c>
      <c r="G364" s="24">
        <f>'Приложение 4'!H546</f>
        <v>43724804</v>
      </c>
      <c r="H364" s="24">
        <f>'Приложение 4'!I546</f>
        <v>43724804</v>
      </c>
      <c r="I364" s="247"/>
    </row>
    <row r="365" spans="1:9" ht="63" x14ac:dyDescent="0.25">
      <c r="A365" s="64" t="s">
        <v>138</v>
      </c>
      <c r="B365" s="65" t="s">
        <v>139</v>
      </c>
      <c r="C365" s="65"/>
      <c r="D365" s="65"/>
      <c r="E365" s="66"/>
      <c r="F365" s="67">
        <f t="shared" ref="F365:H368" si="43">F366</f>
        <v>882412694.23000002</v>
      </c>
      <c r="G365" s="67">
        <f t="shared" si="43"/>
        <v>128460096.52000001</v>
      </c>
      <c r="H365" s="50">
        <f t="shared" si="43"/>
        <v>0</v>
      </c>
      <c r="I365" s="83"/>
    </row>
    <row r="366" spans="1:9" ht="31.5" x14ac:dyDescent="0.25">
      <c r="A366" s="51" t="s">
        <v>140</v>
      </c>
      <c r="B366" s="48" t="s">
        <v>139</v>
      </c>
      <c r="C366" s="48" t="s">
        <v>25</v>
      </c>
      <c r="D366" s="48"/>
      <c r="E366" s="49"/>
      <c r="F366" s="50">
        <f t="shared" si="43"/>
        <v>882412694.23000002</v>
      </c>
      <c r="G366" s="50">
        <f t="shared" si="43"/>
        <v>128460096.52000001</v>
      </c>
      <c r="H366" s="50">
        <f t="shared" si="43"/>
        <v>0</v>
      </c>
    </row>
    <row r="367" spans="1:9" x14ac:dyDescent="0.25">
      <c r="A367" s="18" t="s">
        <v>18</v>
      </c>
      <c r="B367" s="48" t="s">
        <v>139</v>
      </c>
      <c r="C367" s="48" t="s">
        <v>25</v>
      </c>
      <c r="D367" s="48" t="s">
        <v>19</v>
      </c>
      <c r="E367" s="49"/>
      <c r="F367" s="50">
        <f t="shared" si="43"/>
        <v>882412694.23000002</v>
      </c>
      <c r="G367" s="50">
        <f t="shared" si="43"/>
        <v>128460096.52000001</v>
      </c>
      <c r="H367" s="50">
        <f t="shared" si="43"/>
        <v>0</v>
      </c>
    </row>
    <row r="368" spans="1:9" x14ac:dyDescent="0.25">
      <c r="A368" s="22" t="s">
        <v>84</v>
      </c>
      <c r="B368" s="48" t="s">
        <v>139</v>
      </c>
      <c r="C368" s="48" t="s">
        <v>25</v>
      </c>
      <c r="D368" s="48" t="s">
        <v>141</v>
      </c>
      <c r="E368" s="49"/>
      <c r="F368" s="50">
        <f t="shared" si="43"/>
        <v>882412694.23000002</v>
      </c>
      <c r="G368" s="50">
        <f t="shared" si="43"/>
        <v>128460096.52000001</v>
      </c>
      <c r="H368" s="50">
        <f t="shared" si="43"/>
        <v>0</v>
      </c>
    </row>
    <row r="369" spans="1:8" ht="15" x14ac:dyDescent="0.25">
      <c r="A369" s="37" t="s">
        <v>84</v>
      </c>
      <c r="B369" s="52" t="s">
        <v>139</v>
      </c>
      <c r="C369" s="52" t="s">
        <v>25</v>
      </c>
      <c r="D369" s="52" t="s">
        <v>141</v>
      </c>
      <c r="E369" s="53" t="s">
        <v>142</v>
      </c>
      <c r="F369" s="54">
        <f>'Приложение 2'!F238+'Приложение 2'!F240</f>
        <v>882412694.23000002</v>
      </c>
      <c r="G369" s="54">
        <f>'Приложение 2'!G238+'Приложение 2'!G240</f>
        <v>128460096.52000001</v>
      </c>
      <c r="H369" s="54">
        <f>'Приложение 2'!H238+'Приложение 2'!H240</f>
        <v>0</v>
      </c>
    </row>
  </sheetData>
  <autoFilter ref="A14:G369"/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52" fitToHeight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4"/>
  <sheetViews>
    <sheetView workbookViewId="0">
      <selection activeCell="K12" sqref="K12"/>
    </sheetView>
  </sheetViews>
  <sheetFormatPr defaultColWidth="9.140625" defaultRowHeight="15.75" x14ac:dyDescent="0.25"/>
  <cols>
    <col min="1" max="1" width="60.85546875" style="1" customWidth="1"/>
    <col min="2" max="2" width="8.42578125" style="290" customWidth="1"/>
    <col min="3" max="3" width="6.140625" style="2" customWidth="1"/>
    <col min="4" max="4" width="6" style="2" customWidth="1"/>
    <col min="5" max="5" width="17.5703125" style="1" customWidth="1"/>
    <col min="6" max="6" width="8" style="344" customWidth="1"/>
    <col min="7" max="7" width="21" style="8" customWidth="1"/>
    <col min="8" max="8" width="21" style="55" customWidth="1"/>
    <col min="9" max="9" width="25.42578125" style="41" customWidth="1"/>
    <col min="10" max="10" width="17.85546875" style="83" customWidth="1"/>
    <col min="11" max="13" width="18.5703125" style="4" customWidth="1"/>
    <col min="14" max="14" width="13.28515625" style="4" customWidth="1"/>
    <col min="15" max="15" width="12.140625" style="4" customWidth="1"/>
    <col min="16" max="16" width="9.140625" style="4"/>
    <col min="17" max="17" width="11.85546875" style="4" customWidth="1"/>
    <col min="18" max="16384" width="9.140625" style="4"/>
  </cols>
  <sheetData>
    <row r="1" spans="1:13" x14ac:dyDescent="0.25">
      <c r="G1" s="3"/>
      <c r="H1" s="3"/>
    </row>
    <row r="2" spans="1:13" ht="18.75" x14ac:dyDescent="0.3">
      <c r="E2" s="5"/>
      <c r="G2" s="6"/>
      <c r="H2" s="6" t="s">
        <v>0</v>
      </c>
    </row>
    <row r="3" spans="1:13" ht="18.75" x14ac:dyDescent="0.3">
      <c r="E3" s="5"/>
      <c r="G3" s="6"/>
      <c r="H3" s="6" t="s">
        <v>1</v>
      </c>
    </row>
    <row r="4" spans="1:13" ht="18.75" x14ac:dyDescent="0.3">
      <c r="E4" s="5"/>
      <c r="G4" s="6"/>
      <c r="H4" s="6" t="s">
        <v>2</v>
      </c>
    </row>
    <row r="5" spans="1:13" ht="18.75" x14ac:dyDescent="0.3">
      <c r="E5" s="5"/>
      <c r="G5" s="6"/>
      <c r="H5" s="6" t="s">
        <v>3</v>
      </c>
    </row>
    <row r="6" spans="1:13" ht="18.75" x14ac:dyDescent="0.3">
      <c r="E6" s="5"/>
      <c r="G6" s="6"/>
      <c r="H6" s="6" t="s">
        <v>4</v>
      </c>
    </row>
    <row r="7" spans="1:13" ht="18.75" x14ac:dyDescent="0.3">
      <c r="E7" s="5"/>
      <c r="G7" s="6"/>
      <c r="H7" s="6" t="s">
        <v>694</v>
      </c>
    </row>
    <row r="8" spans="1:13" ht="18.75" x14ac:dyDescent="0.3">
      <c r="E8" s="5"/>
      <c r="G8" s="6"/>
      <c r="H8" s="6" t="s">
        <v>693</v>
      </c>
    </row>
    <row r="9" spans="1:13" x14ac:dyDescent="0.25">
      <c r="G9" s="3"/>
      <c r="H9" s="3"/>
    </row>
    <row r="11" spans="1:13" x14ac:dyDescent="0.25">
      <c r="A11" s="351" t="s">
        <v>215</v>
      </c>
      <c r="B11" s="351"/>
      <c r="C11" s="351"/>
      <c r="D11" s="351"/>
      <c r="E11" s="351"/>
      <c r="F11" s="351"/>
      <c r="G11" s="351"/>
      <c r="H11" s="351"/>
      <c r="I11" s="351"/>
      <c r="J11" s="242"/>
      <c r="K11" s="69"/>
      <c r="L11" s="69"/>
      <c r="M11" s="69"/>
    </row>
    <row r="13" spans="1:13" x14ac:dyDescent="0.25">
      <c r="H13" s="7"/>
      <c r="I13" s="7" t="s">
        <v>5</v>
      </c>
      <c r="K13" s="69"/>
      <c r="L13" s="69"/>
      <c r="M13" s="69"/>
    </row>
    <row r="14" spans="1:13" s="12" customFormat="1" ht="30" x14ac:dyDescent="0.25">
      <c r="A14" s="9" t="s">
        <v>6</v>
      </c>
      <c r="B14" s="291" t="s">
        <v>219</v>
      </c>
      <c r="C14" s="10" t="s">
        <v>7</v>
      </c>
      <c r="D14" s="10" t="s">
        <v>8</v>
      </c>
      <c r="E14" s="9" t="s">
        <v>9</v>
      </c>
      <c r="F14" s="9" t="s">
        <v>10</v>
      </c>
      <c r="G14" s="11" t="s">
        <v>11</v>
      </c>
      <c r="H14" s="11" t="s">
        <v>12</v>
      </c>
      <c r="I14" s="241" t="s">
        <v>143</v>
      </c>
      <c r="J14" s="243"/>
      <c r="K14" s="55"/>
      <c r="L14" s="55"/>
      <c r="M14" s="55"/>
    </row>
    <row r="15" spans="1:13" s="17" customFormat="1" ht="31.5" x14ac:dyDescent="0.25">
      <c r="A15" s="98" t="s">
        <v>217</v>
      </c>
      <c r="B15" s="292">
        <v>701</v>
      </c>
      <c r="C15" s="14"/>
      <c r="D15" s="14"/>
      <c r="E15" s="15"/>
      <c r="F15" s="345"/>
      <c r="G15" s="16">
        <f>G16+G114+G124+G191+G196+G209+G383+G429+G518+G547+G423</f>
        <v>4435896731.1133327</v>
      </c>
      <c r="H15" s="16">
        <f t="shared" ref="H15:I15" si="0">H16+H114+H124+H191+H196+H209+H383+H429+H518+H547+H423</f>
        <v>3470812388.5144</v>
      </c>
      <c r="I15" s="16">
        <f t="shared" si="0"/>
        <v>3080330700.9958825</v>
      </c>
      <c r="J15" s="244"/>
      <c r="K15" s="244"/>
      <c r="L15" s="244"/>
      <c r="M15" s="244"/>
    </row>
    <row r="16" spans="1:13" x14ac:dyDescent="0.25">
      <c r="A16" s="18" t="s">
        <v>14</v>
      </c>
      <c r="B16" s="293" t="s">
        <v>218</v>
      </c>
      <c r="C16" s="19" t="s">
        <v>15</v>
      </c>
      <c r="D16" s="19"/>
      <c r="E16" s="19"/>
      <c r="F16" s="19"/>
      <c r="G16" s="20">
        <f>G17+G22+G31+G38+G51+G56+G46</f>
        <v>992938699.51333332</v>
      </c>
      <c r="H16" s="20">
        <f t="shared" ref="H16:I16" si="1">H17+H22+H31+H38+H51+H56</f>
        <v>974951554.32000005</v>
      </c>
      <c r="I16" s="20">
        <f t="shared" si="1"/>
        <v>972924493.23000002</v>
      </c>
      <c r="K16" s="69"/>
      <c r="L16" s="69"/>
      <c r="M16" s="69"/>
    </row>
    <row r="17" spans="1:13" ht="47.25" x14ac:dyDescent="0.25">
      <c r="A17" s="18" t="s">
        <v>16</v>
      </c>
      <c r="B17" s="292">
        <v>701</v>
      </c>
      <c r="C17" s="19" t="s">
        <v>15</v>
      </c>
      <c r="D17" s="19" t="s">
        <v>17</v>
      </c>
      <c r="E17" s="19"/>
      <c r="F17" s="19"/>
      <c r="G17" s="20">
        <f t="shared" ref="G17:I18" si="2">G18</f>
        <v>9081110</v>
      </c>
      <c r="H17" s="20">
        <f t="shared" si="2"/>
        <v>9085598</v>
      </c>
      <c r="I17" s="20">
        <f t="shared" si="2"/>
        <v>8999510</v>
      </c>
      <c r="K17" s="69"/>
      <c r="L17" s="69"/>
      <c r="M17" s="69"/>
    </row>
    <row r="18" spans="1:13" s="21" customFormat="1" x14ac:dyDescent="0.25">
      <c r="A18" s="18" t="s">
        <v>18</v>
      </c>
      <c r="B18" s="293" t="s">
        <v>218</v>
      </c>
      <c r="C18" s="19" t="s">
        <v>15</v>
      </c>
      <c r="D18" s="19" t="s">
        <v>17</v>
      </c>
      <c r="E18" s="19" t="s">
        <v>19</v>
      </c>
      <c r="F18" s="19"/>
      <c r="G18" s="20">
        <f t="shared" si="2"/>
        <v>9081110</v>
      </c>
      <c r="H18" s="20">
        <f t="shared" si="2"/>
        <v>9085598</v>
      </c>
      <c r="I18" s="20">
        <f t="shared" si="2"/>
        <v>8999510</v>
      </c>
      <c r="J18" s="245"/>
      <c r="K18" s="327"/>
      <c r="L18" s="327"/>
      <c r="M18" s="327"/>
    </row>
    <row r="19" spans="1:13" ht="30.75" x14ac:dyDescent="0.25">
      <c r="A19" s="22" t="s">
        <v>20</v>
      </c>
      <c r="B19" s="292">
        <v>701</v>
      </c>
      <c r="C19" s="23" t="s">
        <v>15</v>
      </c>
      <c r="D19" s="23" t="s">
        <v>17</v>
      </c>
      <c r="E19" s="23" t="s">
        <v>21</v>
      </c>
      <c r="F19" s="23"/>
      <c r="G19" s="24">
        <f>G21</f>
        <v>9081110</v>
      </c>
      <c r="H19" s="24">
        <f t="shared" ref="H19:I19" si="3">H21</f>
        <v>9085598</v>
      </c>
      <c r="I19" s="24">
        <f t="shared" si="3"/>
        <v>8999510</v>
      </c>
      <c r="K19" s="69"/>
      <c r="L19" s="69"/>
      <c r="M19" s="69"/>
    </row>
    <row r="20" spans="1:13" x14ac:dyDescent="0.25">
      <c r="A20" s="265" t="s">
        <v>155</v>
      </c>
      <c r="B20" s="293" t="s">
        <v>218</v>
      </c>
      <c r="C20" s="23" t="s">
        <v>15</v>
      </c>
      <c r="D20" s="23" t="s">
        <v>17</v>
      </c>
      <c r="E20" s="23" t="s">
        <v>156</v>
      </c>
      <c r="F20" s="23"/>
      <c r="G20" s="24">
        <f>G21</f>
        <v>9081110</v>
      </c>
      <c r="H20" s="24">
        <f t="shared" ref="H20:I20" si="4">H21</f>
        <v>9085598</v>
      </c>
      <c r="I20" s="24">
        <f t="shared" si="4"/>
        <v>8999510</v>
      </c>
    </row>
    <row r="21" spans="1:13" ht="75.75" x14ac:dyDescent="0.25">
      <c r="A21" s="22" t="s">
        <v>22</v>
      </c>
      <c r="B21" s="292">
        <v>701</v>
      </c>
      <c r="C21" s="23" t="s">
        <v>15</v>
      </c>
      <c r="D21" s="23" t="s">
        <v>17</v>
      </c>
      <c r="E21" s="23" t="s">
        <v>156</v>
      </c>
      <c r="F21" s="23" t="s">
        <v>23</v>
      </c>
      <c r="G21" s="25">
        <f>'Приложение 2'!F19</f>
        <v>9081110</v>
      </c>
      <c r="H21" s="25">
        <f>'Приложение 2'!G19</f>
        <v>9085598</v>
      </c>
      <c r="I21" s="25">
        <f>'Приложение 2'!H19</f>
        <v>8999510</v>
      </c>
    </row>
    <row r="22" spans="1:13" s="21" customFormat="1" ht="63" x14ac:dyDescent="0.25">
      <c r="A22" s="18" t="s">
        <v>24</v>
      </c>
      <c r="B22" s="292">
        <v>701</v>
      </c>
      <c r="C22" s="19" t="s">
        <v>15</v>
      </c>
      <c r="D22" s="19" t="s">
        <v>25</v>
      </c>
      <c r="E22" s="19"/>
      <c r="F22" s="19"/>
      <c r="G22" s="20">
        <f t="shared" ref="G22:I23" si="5">G23</f>
        <v>9442281.120000001</v>
      </c>
      <c r="H22" s="20">
        <f t="shared" si="5"/>
        <v>5072585.76</v>
      </c>
      <c r="I22" s="20">
        <f t="shared" si="5"/>
        <v>5311265.62</v>
      </c>
      <c r="J22" s="245"/>
    </row>
    <row r="23" spans="1:13" x14ac:dyDescent="0.25">
      <c r="A23" s="18" t="s">
        <v>18</v>
      </c>
      <c r="B23" s="293" t="s">
        <v>218</v>
      </c>
      <c r="C23" s="19" t="s">
        <v>15</v>
      </c>
      <c r="D23" s="19" t="s">
        <v>25</v>
      </c>
      <c r="E23" s="19" t="s">
        <v>19</v>
      </c>
      <c r="F23" s="19"/>
      <c r="G23" s="20">
        <f t="shared" si="5"/>
        <v>9442281.120000001</v>
      </c>
      <c r="H23" s="20">
        <f t="shared" si="5"/>
        <v>5072585.76</v>
      </c>
      <c r="I23" s="20">
        <f t="shared" si="5"/>
        <v>5311265.62</v>
      </c>
    </row>
    <row r="24" spans="1:13" ht="30.75" x14ac:dyDescent="0.25">
      <c r="A24" s="22" t="s">
        <v>20</v>
      </c>
      <c r="B24" s="292">
        <v>701</v>
      </c>
      <c r="C24" s="23" t="s">
        <v>15</v>
      </c>
      <c r="D24" s="23" t="s">
        <v>25</v>
      </c>
      <c r="E24" s="23" t="s">
        <v>21</v>
      </c>
      <c r="F24" s="23"/>
      <c r="G24" s="24">
        <f>G25+G27</f>
        <v>9442281.120000001</v>
      </c>
      <c r="H24" s="24">
        <f t="shared" ref="H24:I24" si="6">H25+H27</f>
        <v>5072585.76</v>
      </c>
      <c r="I24" s="24">
        <f t="shared" si="6"/>
        <v>5311265.62</v>
      </c>
    </row>
    <row r="25" spans="1:13" ht="30.75" x14ac:dyDescent="0.25">
      <c r="A25" s="22" t="s">
        <v>545</v>
      </c>
      <c r="B25" s="293" t="s">
        <v>218</v>
      </c>
      <c r="C25" s="23" t="s">
        <v>15</v>
      </c>
      <c r="D25" s="23" t="s">
        <v>25</v>
      </c>
      <c r="E25" s="23" t="s">
        <v>544</v>
      </c>
      <c r="F25" s="23"/>
      <c r="G25" s="24">
        <f>G26</f>
        <v>4649025.25</v>
      </c>
      <c r="H25" s="24">
        <f t="shared" ref="H25:I25" si="7">H26</f>
        <v>0</v>
      </c>
      <c r="I25" s="24">
        <f t="shared" si="7"/>
        <v>0</v>
      </c>
    </row>
    <row r="26" spans="1:13" ht="75.75" x14ac:dyDescent="0.25">
      <c r="A26" s="22" t="s">
        <v>22</v>
      </c>
      <c r="B26" s="292">
        <v>701</v>
      </c>
      <c r="C26" s="23" t="s">
        <v>15</v>
      </c>
      <c r="D26" s="23" t="s">
        <v>25</v>
      </c>
      <c r="E26" s="23" t="s">
        <v>544</v>
      </c>
      <c r="F26" s="23" t="s">
        <v>23</v>
      </c>
      <c r="G26" s="24">
        <f>'Приложение 2'!F24</f>
        <v>4649025.25</v>
      </c>
      <c r="H26" s="24">
        <f>'Приложение 2'!G24</f>
        <v>0</v>
      </c>
      <c r="I26" s="24">
        <f>'Приложение 2'!H24</f>
        <v>0</v>
      </c>
    </row>
    <row r="27" spans="1:13" ht="30.75" x14ac:dyDescent="0.25">
      <c r="A27" s="266" t="s">
        <v>157</v>
      </c>
      <c r="B27" s="293" t="s">
        <v>218</v>
      </c>
      <c r="C27" s="23" t="s">
        <v>15</v>
      </c>
      <c r="D27" s="23" t="s">
        <v>25</v>
      </c>
      <c r="E27" s="23" t="s">
        <v>158</v>
      </c>
      <c r="F27" s="23"/>
      <c r="G27" s="24">
        <f>SUM(G28:G30)</f>
        <v>4793255.87</v>
      </c>
      <c r="H27" s="24">
        <f>SUM(H28:H30)</f>
        <v>5072585.76</v>
      </c>
      <c r="I27" s="24">
        <f>SUM(I28:I30)</f>
        <v>5311265.62</v>
      </c>
    </row>
    <row r="28" spans="1:13" ht="75.75" x14ac:dyDescent="0.25">
      <c r="A28" s="22" t="s">
        <v>22</v>
      </c>
      <c r="B28" s="292">
        <v>701</v>
      </c>
      <c r="C28" s="23" t="s">
        <v>15</v>
      </c>
      <c r="D28" s="23" t="s">
        <v>25</v>
      </c>
      <c r="E28" s="23" t="s">
        <v>158</v>
      </c>
      <c r="F28" s="23" t="s">
        <v>23</v>
      </c>
      <c r="G28" s="24">
        <f>'Приложение 2'!F26</f>
        <v>1958919.4100000001</v>
      </c>
      <c r="H28" s="24">
        <f>'Приложение 2'!G26</f>
        <v>847154.58</v>
      </c>
      <c r="I28" s="24">
        <f>'Приложение 2'!H26</f>
        <v>874470.08</v>
      </c>
    </row>
    <row r="29" spans="1:13" ht="30.75" x14ac:dyDescent="0.25">
      <c r="A29" s="22" t="s">
        <v>26</v>
      </c>
      <c r="B29" s="293" t="s">
        <v>218</v>
      </c>
      <c r="C29" s="23" t="s">
        <v>15</v>
      </c>
      <c r="D29" s="23" t="s">
        <v>25</v>
      </c>
      <c r="E29" s="23" t="s">
        <v>158</v>
      </c>
      <c r="F29" s="23" t="s">
        <v>27</v>
      </c>
      <c r="G29" s="24">
        <f>'Приложение 2'!F27</f>
        <v>2814336.46</v>
      </c>
      <c r="H29" s="24">
        <f>'Приложение 2'!G27</f>
        <v>4195031.18</v>
      </c>
      <c r="I29" s="24">
        <f>'Приложение 2'!H27</f>
        <v>4404814.74</v>
      </c>
    </row>
    <row r="30" spans="1:13" x14ac:dyDescent="0.25">
      <c r="A30" s="22" t="s">
        <v>28</v>
      </c>
      <c r="B30" s="292">
        <v>701</v>
      </c>
      <c r="C30" s="23" t="s">
        <v>15</v>
      </c>
      <c r="D30" s="23" t="s">
        <v>25</v>
      </c>
      <c r="E30" s="23" t="s">
        <v>158</v>
      </c>
      <c r="F30" s="23" t="s">
        <v>29</v>
      </c>
      <c r="G30" s="24">
        <f>'Приложение 2'!F28</f>
        <v>20000</v>
      </c>
      <c r="H30" s="24">
        <f>'Приложение 2'!G28</f>
        <v>30400</v>
      </c>
      <c r="I30" s="24">
        <f>'Приложение 2'!H28</f>
        <v>31980.799999999999</v>
      </c>
    </row>
    <row r="31" spans="1:13" ht="63" x14ac:dyDescent="0.25">
      <c r="A31" s="26" t="s">
        <v>535</v>
      </c>
      <c r="B31" s="293" t="s">
        <v>218</v>
      </c>
      <c r="C31" s="19" t="s">
        <v>15</v>
      </c>
      <c r="D31" s="19" t="s">
        <v>30</v>
      </c>
      <c r="E31" s="19"/>
      <c r="F31" s="19"/>
      <c r="G31" s="20">
        <f t="shared" ref="G31:I33" si="8">G32</f>
        <v>75691819.109999999</v>
      </c>
      <c r="H31" s="20">
        <f t="shared" si="8"/>
        <v>77202429.319999993</v>
      </c>
      <c r="I31" s="20">
        <f t="shared" si="8"/>
        <v>77701079.309999987</v>
      </c>
    </row>
    <row r="32" spans="1:13" x14ac:dyDescent="0.25">
      <c r="A32" s="18" t="s">
        <v>18</v>
      </c>
      <c r="B32" s="292">
        <v>701</v>
      </c>
      <c r="C32" s="19" t="s">
        <v>15</v>
      </c>
      <c r="D32" s="19" t="s">
        <v>30</v>
      </c>
      <c r="E32" s="19" t="s">
        <v>19</v>
      </c>
      <c r="F32" s="19"/>
      <c r="G32" s="20">
        <f t="shared" si="8"/>
        <v>75691819.109999999</v>
      </c>
      <c r="H32" s="20">
        <f t="shared" si="8"/>
        <v>77202429.319999993</v>
      </c>
      <c r="I32" s="20">
        <f t="shared" si="8"/>
        <v>77701079.309999987</v>
      </c>
    </row>
    <row r="33" spans="1:10" ht="30.75" x14ac:dyDescent="0.25">
      <c r="A33" s="22" t="s">
        <v>20</v>
      </c>
      <c r="B33" s="293" t="s">
        <v>218</v>
      </c>
      <c r="C33" s="23" t="s">
        <v>15</v>
      </c>
      <c r="D33" s="23" t="s">
        <v>30</v>
      </c>
      <c r="E33" s="23" t="s">
        <v>21</v>
      </c>
      <c r="F33" s="23"/>
      <c r="G33" s="24">
        <f>G34</f>
        <v>75691819.109999999</v>
      </c>
      <c r="H33" s="24">
        <f t="shared" si="8"/>
        <v>77202429.319999993</v>
      </c>
      <c r="I33" s="24">
        <f t="shared" si="8"/>
        <v>77701079.309999987</v>
      </c>
    </row>
    <row r="34" spans="1:10" ht="30.75" x14ac:dyDescent="0.25">
      <c r="A34" s="22" t="s">
        <v>159</v>
      </c>
      <c r="B34" s="292">
        <v>701</v>
      </c>
      <c r="C34" s="23" t="s">
        <v>15</v>
      </c>
      <c r="D34" s="23" t="s">
        <v>30</v>
      </c>
      <c r="E34" s="23" t="s">
        <v>160</v>
      </c>
      <c r="F34" s="23"/>
      <c r="G34" s="24">
        <f>SUM(G35:G37)</f>
        <v>75691819.109999999</v>
      </c>
      <c r="H34" s="24">
        <f t="shared" ref="H34:I34" si="9">SUM(H35:H37)</f>
        <v>77202429.319999993</v>
      </c>
      <c r="I34" s="24">
        <f t="shared" si="9"/>
        <v>77701079.309999987</v>
      </c>
    </row>
    <row r="35" spans="1:10" ht="75.75" x14ac:dyDescent="0.25">
      <c r="A35" s="22" t="s">
        <v>22</v>
      </c>
      <c r="B35" s="293" t="s">
        <v>218</v>
      </c>
      <c r="C35" s="23" t="s">
        <v>15</v>
      </c>
      <c r="D35" s="23" t="s">
        <v>30</v>
      </c>
      <c r="E35" s="23" t="s">
        <v>160</v>
      </c>
      <c r="F35" s="23" t="s">
        <v>23</v>
      </c>
      <c r="G35" s="24">
        <f>'Приложение 2'!F33</f>
        <v>70327780.310000002</v>
      </c>
      <c r="H35" s="24">
        <f>'Приложение 2'!G33</f>
        <v>70532182.319999993</v>
      </c>
      <c r="I35" s="24">
        <f>'Приложение 2'!H33</f>
        <v>70736065.319999993</v>
      </c>
    </row>
    <row r="36" spans="1:10" s="21" customFormat="1" ht="30.75" x14ac:dyDescent="0.25">
      <c r="A36" s="22" t="s">
        <v>26</v>
      </c>
      <c r="B36" s="292">
        <v>701</v>
      </c>
      <c r="C36" s="23" t="s">
        <v>15</v>
      </c>
      <c r="D36" s="23" t="s">
        <v>30</v>
      </c>
      <c r="E36" s="23" t="s">
        <v>160</v>
      </c>
      <c r="F36" s="23" t="s">
        <v>27</v>
      </c>
      <c r="G36" s="24">
        <f>'Приложение 2'!F34</f>
        <v>5209068.8</v>
      </c>
      <c r="H36" s="24">
        <f>'Приложение 2'!G34</f>
        <v>6515277</v>
      </c>
      <c r="I36" s="24">
        <f>'Приложение 2'!H34</f>
        <v>6810043.9900000002</v>
      </c>
      <c r="J36" s="245"/>
    </row>
    <row r="37" spans="1:10" s="21" customFormat="1" x14ac:dyDescent="0.25">
      <c r="A37" s="22" t="s">
        <v>28</v>
      </c>
      <c r="B37" s="293" t="s">
        <v>218</v>
      </c>
      <c r="C37" s="23" t="s">
        <v>15</v>
      </c>
      <c r="D37" s="23" t="s">
        <v>30</v>
      </c>
      <c r="E37" s="23" t="s">
        <v>160</v>
      </c>
      <c r="F37" s="23" t="s">
        <v>29</v>
      </c>
      <c r="G37" s="24">
        <f>'Приложение 2'!F36</f>
        <v>154970</v>
      </c>
      <c r="H37" s="24">
        <f>'Приложение 2'!G36</f>
        <v>154970</v>
      </c>
      <c r="I37" s="24">
        <f>'Приложение 2'!H36</f>
        <v>154970</v>
      </c>
      <c r="J37" s="245"/>
    </row>
    <row r="38" spans="1:10" ht="47.25" x14ac:dyDescent="0.25">
      <c r="A38" s="18" t="s">
        <v>31</v>
      </c>
      <c r="B38" s="292">
        <v>701</v>
      </c>
      <c r="C38" s="19" t="s">
        <v>15</v>
      </c>
      <c r="D38" s="19" t="s">
        <v>32</v>
      </c>
      <c r="E38" s="19"/>
      <c r="F38" s="19"/>
      <c r="G38" s="20">
        <f>G39</f>
        <v>46605836.530000001</v>
      </c>
      <c r="H38" s="20">
        <f t="shared" ref="H38:I38" si="10">H39</f>
        <v>46937865.759999998</v>
      </c>
      <c r="I38" s="20">
        <f t="shared" si="10"/>
        <v>46445563.060000002</v>
      </c>
    </row>
    <row r="39" spans="1:10" x14ac:dyDescent="0.25">
      <c r="A39" s="18" t="s">
        <v>18</v>
      </c>
      <c r="B39" s="292">
        <v>701</v>
      </c>
      <c r="C39" s="19" t="s">
        <v>15</v>
      </c>
      <c r="D39" s="19" t="s">
        <v>32</v>
      </c>
      <c r="E39" s="19" t="s">
        <v>19</v>
      </c>
      <c r="F39" s="19"/>
      <c r="G39" s="20">
        <f t="shared" ref="G39:I39" si="11">G40</f>
        <v>46605836.530000001</v>
      </c>
      <c r="H39" s="20">
        <f t="shared" si="11"/>
        <v>46937865.759999998</v>
      </c>
      <c r="I39" s="20">
        <f t="shared" si="11"/>
        <v>46445563.060000002</v>
      </c>
    </row>
    <row r="40" spans="1:10" ht="30.75" x14ac:dyDescent="0.25">
      <c r="A40" s="22" t="s">
        <v>20</v>
      </c>
      <c r="B40" s="293" t="s">
        <v>218</v>
      </c>
      <c r="C40" s="23" t="s">
        <v>15</v>
      </c>
      <c r="D40" s="23" t="s">
        <v>32</v>
      </c>
      <c r="E40" s="23" t="s">
        <v>21</v>
      </c>
      <c r="F40" s="23"/>
      <c r="G40" s="24">
        <f>G41+G44</f>
        <v>46605836.530000001</v>
      </c>
      <c r="H40" s="24">
        <f t="shared" ref="H40:I40" si="12">H41+H44</f>
        <v>46937865.759999998</v>
      </c>
      <c r="I40" s="24">
        <f t="shared" si="12"/>
        <v>46445563.060000002</v>
      </c>
    </row>
    <row r="41" spans="1:10" ht="30.75" x14ac:dyDescent="0.25">
      <c r="A41" s="22" t="s">
        <v>159</v>
      </c>
      <c r="B41" s="292">
        <v>701</v>
      </c>
      <c r="C41" s="23" t="s">
        <v>15</v>
      </c>
      <c r="D41" s="23" t="s">
        <v>32</v>
      </c>
      <c r="E41" s="23" t="s">
        <v>160</v>
      </c>
      <c r="F41" s="23"/>
      <c r="G41" s="24">
        <f>SUM(G42:G43)</f>
        <v>42423698.530000001</v>
      </c>
      <c r="H41" s="24">
        <f t="shared" ref="H41:I41" si="13">SUM(H42:H43)</f>
        <v>42935727.759999998</v>
      </c>
      <c r="I41" s="24">
        <f t="shared" si="13"/>
        <v>42263425.060000002</v>
      </c>
    </row>
    <row r="42" spans="1:10" ht="75.75" x14ac:dyDescent="0.25">
      <c r="A42" s="22" t="s">
        <v>22</v>
      </c>
      <c r="B42" s="293" t="s">
        <v>218</v>
      </c>
      <c r="C42" s="23" t="s">
        <v>15</v>
      </c>
      <c r="D42" s="23" t="s">
        <v>32</v>
      </c>
      <c r="E42" s="23" t="s">
        <v>160</v>
      </c>
      <c r="F42" s="23" t="s">
        <v>23</v>
      </c>
      <c r="G42" s="24">
        <f>'Приложение 2'!F43+'Приложение 2'!F47</f>
        <v>38983476.530000001</v>
      </c>
      <c r="H42" s="24">
        <f>'Приложение 2'!G43+'Приложение 2'!G47</f>
        <v>39757803.409999996</v>
      </c>
      <c r="I42" s="24">
        <f>'Приложение 2'!H43+'Приложение 2'!H47</f>
        <v>39020083.640000001</v>
      </c>
    </row>
    <row r="43" spans="1:10" ht="30.75" x14ac:dyDescent="0.25">
      <c r="A43" s="22" t="s">
        <v>26</v>
      </c>
      <c r="B43" s="292">
        <v>701</v>
      </c>
      <c r="C43" s="23" t="s">
        <v>15</v>
      </c>
      <c r="D43" s="23" t="s">
        <v>32</v>
      </c>
      <c r="E43" s="23" t="s">
        <v>160</v>
      </c>
      <c r="F43" s="23" t="s">
        <v>27</v>
      </c>
      <c r="G43" s="24">
        <f>'Приложение 2'!F44+'Приложение 2'!F48</f>
        <v>3440222</v>
      </c>
      <c r="H43" s="24">
        <f>'Приложение 2'!G44+'Приложение 2'!G48</f>
        <v>3177924.35</v>
      </c>
      <c r="I43" s="24">
        <f>'Приложение 2'!H44+'Приложение 2'!H48</f>
        <v>3243341.42</v>
      </c>
    </row>
    <row r="44" spans="1:10" ht="30.75" x14ac:dyDescent="0.25">
      <c r="A44" s="22" t="s">
        <v>161</v>
      </c>
      <c r="B44" s="293" t="s">
        <v>218</v>
      </c>
      <c r="C44" s="23" t="s">
        <v>15</v>
      </c>
      <c r="D44" s="23" t="s">
        <v>32</v>
      </c>
      <c r="E44" s="23" t="s">
        <v>162</v>
      </c>
      <c r="F44" s="23"/>
      <c r="G44" s="24">
        <f>G45</f>
        <v>4182138</v>
      </c>
      <c r="H44" s="24">
        <f t="shared" ref="H44:I44" si="14">H45</f>
        <v>4002138</v>
      </c>
      <c r="I44" s="24">
        <f t="shared" si="14"/>
        <v>4182138</v>
      </c>
    </row>
    <row r="45" spans="1:10" ht="75.75" x14ac:dyDescent="0.25">
      <c r="A45" s="22" t="s">
        <v>22</v>
      </c>
      <c r="B45" s="292">
        <v>701</v>
      </c>
      <c r="C45" s="23" t="s">
        <v>15</v>
      </c>
      <c r="D45" s="23" t="s">
        <v>32</v>
      </c>
      <c r="E45" s="23" t="s">
        <v>162</v>
      </c>
      <c r="F45" s="23" t="s">
        <v>23</v>
      </c>
      <c r="G45" s="24">
        <f>'Приложение 2'!F41</f>
        <v>4182138</v>
      </c>
      <c r="H45" s="24">
        <f>'Приложение 2'!G41</f>
        <v>4002138</v>
      </c>
      <c r="I45" s="24">
        <f>'Приложение 2'!H41</f>
        <v>4182138</v>
      </c>
    </row>
    <row r="46" spans="1:10" s="27" customFormat="1" ht="31.5" x14ac:dyDescent="0.25">
      <c r="A46" s="18" t="s">
        <v>33</v>
      </c>
      <c r="B46" s="323" t="s">
        <v>218</v>
      </c>
      <c r="C46" s="19" t="s">
        <v>15</v>
      </c>
      <c r="D46" s="19" t="s">
        <v>34</v>
      </c>
      <c r="E46" s="19"/>
      <c r="F46" s="19"/>
      <c r="G46" s="20">
        <f>G47</f>
        <v>149600</v>
      </c>
      <c r="H46" s="20">
        <f t="shared" ref="H46:I49" si="15">H47</f>
        <v>0</v>
      </c>
      <c r="I46" s="20">
        <f t="shared" si="15"/>
        <v>0</v>
      </c>
      <c r="J46" s="94"/>
    </row>
    <row r="47" spans="1:10" s="27" customFormat="1" x14ac:dyDescent="0.25">
      <c r="A47" s="18" t="s">
        <v>18</v>
      </c>
      <c r="B47" s="324">
        <v>701</v>
      </c>
      <c r="C47" s="19" t="s">
        <v>15</v>
      </c>
      <c r="D47" s="19" t="s">
        <v>34</v>
      </c>
      <c r="E47" s="19" t="s">
        <v>19</v>
      </c>
      <c r="F47" s="19"/>
      <c r="G47" s="20">
        <f>G48</f>
        <v>149600</v>
      </c>
      <c r="H47" s="20">
        <f t="shared" si="15"/>
        <v>0</v>
      </c>
      <c r="I47" s="20">
        <f t="shared" si="15"/>
        <v>0</v>
      </c>
      <c r="J47" s="94"/>
    </row>
    <row r="48" spans="1:10" x14ac:dyDescent="0.25">
      <c r="A48" s="22" t="s">
        <v>56</v>
      </c>
      <c r="B48" s="293" t="s">
        <v>218</v>
      </c>
      <c r="C48" s="23" t="s">
        <v>15</v>
      </c>
      <c r="D48" s="23" t="s">
        <v>34</v>
      </c>
      <c r="E48" s="23" t="s">
        <v>38</v>
      </c>
      <c r="F48" s="23"/>
      <c r="G48" s="24">
        <f>G49</f>
        <v>149600</v>
      </c>
      <c r="H48" s="24">
        <f t="shared" si="15"/>
        <v>0</v>
      </c>
      <c r="I48" s="24">
        <f t="shared" si="15"/>
        <v>0</v>
      </c>
    </row>
    <row r="49" spans="1:13" ht="30.75" x14ac:dyDescent="0.25">
      <c r="A49" s="22" t="s">
        <v>166</v>
      </c>
      <c r="B49" s="292">
        <v>701</v>
      </c>
      <c r="C49" s="23" t="s">
        <v>15</v>
      </c>
      <c r="D49" s="23" t="s">
        <v>34</v>
      </c>
      <c r="E49" s="23" t="s">
        <v>167</v>
      </c>
      <c r="F49" s="23"/>
      <c r="G49" s="24">
        <f>G50</f>
        <v>149600</v>
      </c>
      <c r="H49" s="24">
        <f t="shared" si="15"/>
        <v>0</v>
      </c>
      <c r="I49" s="24">
        <f t="shared" si="15"/>
        <v>0</v>
      </c>
    </row>
    <row r="50" spans="1:13" ht="30.75" x14ac:dyDescent="0.25">
      <c r="A50" s="22" t="s">
        <v>26</v>
      </c>
      <c r="B50" s="293" t="s">
        <v>218</v>
      </c>
      <c r="C50" s="23" t="s">
        <v>15</v>
      </c>
      <c r="D50" s="23" t="s">
        <v>34</v>
      </c>
      <c r="E50" s="23" t="s">
        <v>167</v>
      </c>
      <c r="F50" s="23" t="s">
        <v>27</v>
      </c>
      <c r="G50" s="24">
        <f>'Приложение 2'!F53</f>
        <v>149600</v>
      </c>
      <c r="H50" s="24">
        <f>'Приложение 2'!G53</f>
        <v>0</v>
      </c>
      <c r="I50" s="24">
        <f>'Приложение 2'!H53</f>
        <v>0</v>
      </c>
    </row>
    <row r="51" spans="1:13" x14ac:dyDescent="0.25">
      <c r="A51" s="18" t="s">
        <v>35</v>
      </c>
      <c r="B51" s="292">
        <v>701</v>
      </c>
      <c r="C51" s="19" t="s">
        <v>15</v>
      </c>
      <c r="D51" s="19" t="s">
        <v>36</v>
      </c>
      <c r="E51" s="19"/>
      <c r="F51" s="19"/>
      <c r="G51" s="20">
        <f t="shared" ref="G51:I54" si="16">G52</f>
        <v>55555898.879999995</v>
      </c>
      <c r="H51" s="20">
        <f t="shared" si="16"/>
        <v>70000000</v>
      </c>
      <c r="I51" s="20">
        <f t="shared" si="16"/>
        <v>70000000</v>
      </c>
    </row>
    <row r="52" spans="1:13" x14ac:dyDescent="0.25">
      <c r="A52" s="18" t="s">
        <v>18</v>
      </c>
      <c r="B52" s="292">
        <v>701</v>
      </c>
      <c r="C52" s="19" t="s">
        <v>15</v>
      </c>
      <c r="D52" s="19" t="s">
        <v>36</v>
      </c>
      <c r="E52" s="19" t="s">
        <v>19</v>
      </c>
      <c r="F52" s="19"/>
      <c r="G52" s="20">
        <f t="shared" si="16"/>
        <v>55555898.879999995</v>
      </c>
      <c r="H52" s="20">
        <f t="shared" si="16"/>
        <v>70000000</v>
      </c>
      <c r="I52" s="20">
        <f t="shared" si="16"/>
        <v>70000000</v>
      </c>
    </row>
    <row r="53" spans="1:13" x14ac:dyDescent="0.25">
      <c r="A53" s="22" t="s">
        <v>37</v>
      </c>
      <c r="B53" s="293" t="s">
        <v>218</v>
      </c>
      <c r="C53" s="23" t="s">
        <v>15</v>
      </c>
      <c r="D53" s="23" t="s">
        <v>36</v>
      </c>
      <c r="E53" s="23" t="s">
        <v>38</v>
      </c>
      <c r="F53" s="23"/>
      <c r="G53" s="24">
        <f>G54</f>
        <v>55555898.879999995</v>
      </c>
      <c r="H53" s="24">
        <f t="shared" si="16"/>
        <v>70000000</v>
      </c>
      <c r="I53" s="24">
        <f t="shared" si="16"/>
        <v>70000000</v>
      </c>
    </row>
    <row r="54" spans="1:13" x14ac:dyDescent="0.25">
      <c r="A54" s="22" t="s">
        <v>163</v>
      </c>
      <c r="B54" s="292">
        <v>701</v>
      </c>
      <c r="C54" s="23" t="s">
        <v>15</v>
      </c>
      <c r="D54" s="23" t="s">
        <v>36</v>
      </c>
      <c r="E54" s="23" t="s">
        <v>164</v>
      </c>
      <c r="F54" s="23"/>
      <c r="G54" s="24">
        <f>G55</f>
        <v>55555898.879999995</v>
      </c>
      <c r="H54" s="24">
        <f t="shared" si="16"/>
        <v>70000000</v>
      </c>
      <c r="I54" s="24">
        <f t="shared" si="16"/>
        <v>70000000</v>
      </c>
    </row>
    <row r="55" spans="1:13" x14ac:dyDescent="0.25">
      <c r="A55" s="22" t="s">
        <v>28</v>
      </c>
      <c r="B55" s="293" t="s">
        <v>218</v>
      </c>
      <c r="C55" s="23" t="s">
        <v>15</v>
      </c>
      <c r="D55" s="23" t="s">
        <v>36</v>
      </c>
      <c r="E55" s="23" t="s">
        <v>164</v>
      </c>
      <c r="F55" s="23" t="s">
        <v>29</v>
      </c>
      <c r="G55" s="24">
        <f>'Приложение 2'!F58</f>
        <v>55555898.879999995</v>
      </c>
      <c r="H55" s="24">
        <f>'Приложение 2'!G58</f>
        <v>70000000</v>
      </c>
      <c r="I55" s="24">
        <f>'Приложение 2'!H58</f>
        <v>70000000</v>
      </c>
    </row>
    <row r="56" spans="1:13" s="27" customFormat="1" x14ac:dyDescent="0.25">
      <c r="A56" s="18" t="s">
        <v>39</v>
      </c>
      <c r="B56" s="292">
        <v>701</v>
      </c>
      <c r="C56" s="19" t="s">
        <v>15</v>
      </c>
      <c r="D56" s="19" t="s">
        <v>40</v>
      </c>
      <c r="E56" s="19"/>
      <c r="F56" s="19"/>
      <c r="G56" s="20">
        <f>G57+G63+G91</f>
        <v>796412153.87333333</v>
      </c>
      <c r="H56" s="20">
        <f t="shared" ref="H56:I56" si="17">H57+H63+H91</f>
        <v>766653075.48000002</v>
      </c>
      <c r="I56" s="20">
        <f t="shared" si="17"/>
        <v>764467075.24000001</v>
      </c>
      <c r="J56" s="94"/>
    </row>
    <row r="57" spans="1:13" ht="47.25" x14ac:dyDescent="0.25">
      <c r="A57" s="18" t="s">
        <v>41</v>
      </c>
      <c r="B57" s="293" t="s">
        <v>218</v>
      </c>
      <c r="C57" s="19" t="s">
        <v>15</v>
      </c>
      <c r="D57" s="19" t="s">
        <v>40</v>
      </c>
      <c r="E57" s="19" t="s">
        <v>42</v>
      </c>
      <c r="F57" s="19"/>
      <c r="G57" s="259">
        <f t="shared" ref="G57:I57" si="18">G58</f>
        <v>9735155</v>
      </c>
      <c r="H57" s="259">
        <f t="shared" si="18"/>
        <v>9735155</v>
      </c>
      <c r="I57" s="259">
        <f t="shared" si="18"/>
        <v>7000000</v>
      </c>
    </row>
    <row r="58" spans="1:13" ht="45" x14ac:dyDescent="0.25">
      <c r="A58" s="270" t="s">
        <v>207</v>
      </c>
      <c r="B58" s="292">
        <v>701</v>
      </c>
      <c r="C58" s="23" t="s">
        <v>15</v>
      </c>
      <c r="D58" s="23" t="s">
        <v>40</v>
      </c>
      <c r="E58" s="23" t="s">
        <v>44</v>
      </c>
      <c r="F58" s="23"/>
      <c r="G58" s="260">
        <f>G59+G61</f>
        <v>9735155</v>
      </c>
      <c r="H58" s="260">
        <f t="shared" ref="H58:I58" si="19">H59+H61</f>
        <v>9735155</v>
      </c>
      <c r="I58" s="260">
        <f t="shared" si="19"/>
        <v>7000000</v>
      </c>
    </row>
    <row r="59" spans="1:13" ht="30" x14ac:dyDescent="0.25">
      <c r="A59" s="270" t="s">
        <v>655</v>
      </c>
      <c r="B59" s="293" t="s">
        <v>218</v>
      </c>
      <c r="C59" s="23" t="s">
        <v>15</v>
      </c>
      <c r="D59" s="23" t="s">
        <v>40</v>
      </c>
      <c r="E59" s="57">
        <v>6130010000</v>
      </c>
      <c r="F59" s="57"/>
      <c r="G59" s="316">
        <f>G60</f>
        <v>6128138.4400000004</v>
      </c>
      <c r="H59" s="316">
        <f t="shared" ref="H59:I59" si="20">H60</f>
        <v>3440015</v>
      </c>
      <c r="I59" s="316">
        <f t="shared" si="20"/>
        <v>5000000</v>
      </c>
    </row>
    <row r="60" spans="1:13" ht="30" x14ac:dyDescent="0.25">
      <c r="A60" s="270" t="s">
        <v>26</v>
      </c>
      <c r="B60" s="292">
        <v>701</v>
      </c>
      <c r="C60" s="23" t="s">
        <v>15</v>
      </c>
      <c r="D60" s="23" t="s">
        <v>40</v>
      </c>
      <c r="E60" s="57">
        <v>6130010000</v>
      </c>
      <c r="F60" s="57" t="s">
        <v>27</v>
      </c>
      <c r="G60" s="316">
        <v>6128138.4400000004</v>
      </c>
      <c r="H60" s="316">
        <v>3440015</v>
      </c>
      <c r="I60" s="316">
        <v>5000000</v>
      </c>
    </row>
    <row r="61" spans="1:13" ht="45" x14ac:dyDescent="0.25">
      <c r="A61" s="270" t="s">
        <v>656</v>
      </c>
      <c r="B61" s="292">
        <v>701</v>
      </c>
      <c r="C61" s="23" t="s">
        <v>15</v>
      </c>
      <c r="D61" s="23" t="s">
        <v>40</v>
      </c>
      <c r="E61" s="57">
        <v>6130010001</v>
      </c>
      <c r="F61" s="57"/>
      <c r="G61" s="316">
        <f>G62</f>
        <v>3607016.56</v>
      </c>
      <c r="H61" s="316">
        <f t="shared" ref="H61:I61" si="21">H62</f>
        <v>6295140</v>
      </c>
      <c r="I61" s="316">
        <f t="shared" si="21"/>
        <v>2000000</v>
      </c>
    </row>
    <row r="62" spans="1:13" ht="30.75" x14ac:dyDescent="0.25">
      <c r="A62" s="22" t="s">
        <v>26</v>
      </c>
      <c r="B62" s="293" t="s">
        <v>218</v>
      </c>
      <c r="C62" s="23" t="s">
        <v>15</v>
      </c>
      <c r="D62" s="23" t="s">
        <v>40</v>
      </c>
      <c r="E62" s="57">
        <v>6130010001</v>
      </c>
      <c r="F62" s="57" t="s">
        <v>27</v>
      </c>
      <c r="G62" s="316">
        <v>3607016.56</v>
      </c>
      <c r="H62" s="316">
        <v>6295140</v>
      </c>
      <c r="I62" s="316">
        <v>2000000</v>
      </c>
    </row>
    <row r="63" spans="1:13" ht="31.5" x14ac:dyDescent="0.25">
      <c r="A63" s="18" t="s">
        <v>45</v>
      </c>
      <c r="B63" s="292">
        <v>701</v>
      </c>
      <c r="C63" s="19" t="s">
        <v>15</v>
      </c>
      <c r="D63" s="19" t="s">
        <v>40</v>
      </c>
      <c r="E63" s="19" t="s">
        <v>46</v>
      </c>
      <c r="F63" s="19"/>
      <c r="G63" s="20">
        <f>G64+G86</f>
        <v>194804156.59999999</v>
      </c>
      <c r="H63" s="20">
        <f t="shared" ref="H63:I63" si="22">H64+H86</f>
        <v>197393584.64000002</v>
      </c>
      <c r="I63" s="20">
        <f t="shared" si="22"/>
        <v>197393584.50000003</v>
      </c>
    </row>
    <row r="64" spans="1:13" x14ac:dyDescent="0.25">
      <c r="A64" s="22" t="s">
        <v>43</v>
      </c>
      <c r="B64" s="293" t="s">
        <v>218</v>
      </c>
      <c r="C64" s="23" t="s">
        <v>15</v>
      </c>
      <c r="D64" s="23" t="s">
        <v>40</v>
      </c>
      <c r="E64" s="23" t="s">
        <v>47</v>
      </c>
      <c r="F64" s="23"/>
      <c r="G64" s="24">
        <f>G65+G79</f>
        <v>153981273.63999999</v>
      </c>
      <c r="H64" s="24">
        <f t="shared" ref="H64:I64" si="23">H65+H79</f>
        <v>156570701.68000001</v>
      </c>
      <c r="I64" s="24">
        <f t="shared" si="23"/>
        <v>156570701.54000002</v>
      </c>
      <c r="K64" s="69"/>
      <c r="L64" s="69"/>
      <c r="M64" s="69"/>
    </row>
    <row r="65" spans="1:13" s="56" customFormat="1" x14ac:dyDescent="0.25">
      <c r="A65" s="22" t="s">
        <v>144</v>
      </c>
      <c r="B65" s="292">
        <v>701</v>
      </c>
      <c r="C65" s="23" t="s">
        <v>15</v>
      </c>
      <c r="D65" s="23" t="s">
        <v>40</v>
      </c>
      <c r="E65" s="23" t="s">
        <v>47</v>
      </c>
      <c r="F65" s="227"/>
      <c r="G65" s="24">
        <f>G66+G68+G71+G73+G75+G77</f>
        <v>148085773.63999999</v>
      </c>
      <c r="H65" s="24">
        <f t="shared" ref="H65:I65" si="24">H66+H68+H71+H73+H75+H77</f>
        <v>151303201.68000001</v>
      </c>
      <c r="I65" s="24">
        <f t="shared" si="24"/>
        <v>151303201.54000002</v>
      </c>
      <c r="J65" s="246"/>
    </row>
    <row r="66" spans="1:13" s="56" customFormat="1" ht="30.75" x14ac:dyDescent="0.25">
      <c r="A66" s="22" t="s">
        <v>588</v>
      </c>
      <c r="B66" s="293" t="s">
        <v>218</v>
      </c>
      <c r="C66" s="23" t="s">
        <v>15</v>
      </c>
      <c r="D66" s="23" t="s">
        <v>40</v>
      </c>
      <c r="E66" s="23" t="s">
        <v>592</v>
      </c>
      <c r="F66" s="227"/>
      <c r="G66" s="260">
        <f>G67</f>
        <v>135288732.25999999</v>
      </c>
      <c r="H66" s="260">
        <f t="shared" ref="H66:I66" si="25">H67</f>
        <v>140305248</v>
      </c>
      <c r="I66" s="260">
        <f t="shared" si="25"/>
        <v>140305247.86000001</v>
      </c>
      <c r="J66" s="246"/>
      <c r="K66" s="341"/>
      <c r="L66" s="341"/>
      <c r="M66" s="341"/>
    </row>
    <row r="67" spans="1:13" s="74" customFormat="1" ht="30" x14ac:dyDescent="0.2">
      <c r="A67" s="22" t="s">
        <v>48</v>
      </c>
      <c r="B67" s="292">
        <v>701</v>
      </c>
      <c r="C67" s="23" t="s">
        <v>15</v>
      </c>
      <c r="D67" s="23" t="s">
        <v>40</v>
      </c>
      <c r="E67" s="269">
        <v>7330010001</v>
      </c>
      <c r="F67" s="23" t="s">
        <v>49</v>
      </c>
      <c r="G67" s="260">
        <f>134080977.48+1207754.78</f>
        <v>135288732.25999999</v>
      </c>
      <c r="H67" s="260">
        <v>140305248</v>
      </c>
      <c r="I67" s="260">
        <v>140305247.86000001</v>
      </c>
      <c r="J67" s="268"/>
      <c r="K67" s="328"/>
      <c r="L67" s="328"/>
      <c r="M67" s="328"/>
    </row>
    <row r="68" spans="1:13" s="56" customFormat="1" x14ac:dyDescent="0.25">
      <c r="A68" s="22" t="s">
        <v>589</v>
      </c>
      <c r="B68" s="293" t="s">
        <v>218</v>
      </c>
      <c r="C68" s="23" t="s">
        <v>15</v>
      </c>
      <c r="D68" s="23" t="s">
        <v>40</v>
      </c>
      <c r="E68" s="23" t="s">
        <v>593</v>
      </c>
      <c r="F68" s="227"/>
      <c r="G68" s="260">
        <f>G69+G70</f>
        <v>959305.84</v>
      </c>
      <c r="H68" s="260">
        <f t="shared" ref="H68:I68" si="26">H69+H70</f>
        <v>959305.84</v>
      </c>
      <c r="I68" s="260">
        <f t="shared" si="26"/>
        <v>959305.84</v>
      </c>
      <c r="J68" s="246"/>
      <c r="K68" s="341"/>
      <c r="L68" s="341"/>
      <c r="M68" s="341"/>
    </row>
    <row r="69" spans="1:13" s="56" customFormat="1" ht="30.75" x14ac:dyDescent="0.25">
      <c r="A69" s="22" t="s">
        <v>26</v>
      </c>
      <c r="B69" s="292">
        <v>701</v>
      </c>
      <c r="C69" s="23" t="s">
        <v>15</v>
      </c>
      <c r="D69" s="23" t="s">
        <v>40</v>
      </c>
      <c r="E69" s="23" t="s">
        <v>593</v>
      </c>
      <c r="F69" s="227" t="s">
        <v>27</v>
      </c>
      <c r="G69" s="260">
        <v>949305.84</v>
      </c>
      <c r="H69" s="260">
        <v>949305.84</v>
      </c>
      <c r="I69" s="260">
        <v>949305.84</v>
      </c>
      <c r="J69" s="246"/>
      <c r="K69" s="341"/>
      <c r="L69" s="341"/>
      <c r="M69" s="341"/>
    </row>
    <row r="70" spans="1:13" x14ac:dyDescent="0.25">
      <c r="A70" s="22" t="s">
        <v>28</v>
      </c>
      <c r="B70" s="293" t="s">
        <v>218</v>
      </c>
      <c r="C70" s="23" t="s">
        <v>15</v>
      </c>
      <c r="D70" s="23" t="s">
        <v>40</v>
      </c>
      <c r="E70" s="23" t="s">
        <v>593</v>
      </c>
      <c r="F70" s="23" t="s">
        <v>29</v>
      </c>
      <c r="G70" s="260">
        <v>10000</v>
      </c>
      <c r="H70" s="260">
        <v>10000</v>
      </c>
      <c r="I70" s="260">
        <v>10000</v>
      </c>
      <c r="K70" s="329"/>
      <c r="L70" s="329"/>
      <c r="M70" s="329"/>
    </row>
    <row r="71" spans="1:13" s="56" customFormat="1" ht="30.75" x14ac:dyDescent="0.25">
      <c r="A71" s="22" t="s">
        <v>590</v>
      </c>
      <c r="B71" s="292">
        <v>701</v>
      </c>
      <c r="C71" s="23" t="s">
        <v>15</v>
      </c>
      <c r="D71" s="23" t="s">
        <v>40</v>
      </c>
      <c r="E71" s="23" t="s">
        <v>594</v>
      </c>
      <c r="F71" s="227"/>
      <c r="G71" s="260">
        <f>G72</f>
        <v>63000</v>
      </c>
      <c r="H71" s="260">
        <f t="shared" ref="H71:I71" si="27">H72</f>
        <v>63000</v>
      </c>
      <c r="I71" s="260">
        <f t="shared" si="27"/>
        <v>63000</v>
      </c>
      <c r="J71" s="246"/>
      <c r="K71" s="341"/>
      <c r="L71" s="341"/>
      <c r="M71" s="341"/>
    </row>
    <row r="72" spans="1:13" s="56" customFormat="1" ht="30.75" x14ac:dyDescent="0.25">
      <c r="A72" s="22" t="s">
        <v>26</v>
      </c>
      <c r="B72" s="293" t="s">
        <v>218</v>
      </c>
      <c r="C72" s="23" t="s">
        <v>15</v>
      </c>
      <c r="D72" s="23" t="s">
        <v>40</v>
      </c>
      <c r="E72" s="23" t="s">
        <v>594</v>
      </c>
      <c r="F72" s="227" t="s">
        <v>27</v>
      </c>
      <c r="G72" s="260">
        <v>63000</v>
      </c>
      <c r="H72" s="260">
        <v>63000</v>
      </c>
      <c r="I72" s="260">
        <v>63000</v>
      </c>
      <c r="J72" s="246"/>
      <c r="K72" s="341"/>
      <c r="L72" s="341"/>
      <c r="M72" s="341"/>
    </row>
    <row r="73" spans="1:13" s="56" customFormat="1" x14ac:dyDescent="0.25">
      <c r="A73" s="22" t="s">
        <v>591</v>
      </c>
      <c r="B73" s="292">
        <v>701</v>
      </c>
      <c r="C73" s="23" t="s">
        <v>15</v>
      </c>
      <c r="D73" s="23" t="s">
        <v>40</v>
      </c>
      <c r="E73" s="23" t="s">
        <v>595</v>
      </c>
      <c r="F73" s="227"/>
      <c r="G73" s="260">
        <f>G74</f>
        <v>5427450.4100000001</v>
      </c>
      <c r="H73" s="260">
        <f t="shared" ref="H73:I73" si="28">H74</f>
        <v>5427450.4100000001</v>
      </c>
      <c r="I73" s="260">
        <f t="shared" si="28"/>
        <v>5427450.4100000001</v>
      </c>
      <c r="J73" s="246"/>
      <c r="K73" s="341"/>
      <c r="L73" s="341"/>
      <c r="M73" s="341"/>
    </row>
    <row r="74" spans="1:13" s="56" customFormat="1" ht="30.75" x14ac:dyDescent="0.25">
      <c r="A74" s="22" t="s">
        <v>26</v>
      </c>
      <c r="B74" s="293" t="s">
        <v>218</v>
      </c>
      <c r="C74" s="23" t="s">
        <v>15</v>
      </c>
      <c r="D74" s="23" t="s">
        <v>40</v>
      </c>
      <c r="E74" s="23" t="s">
        <v>595</v>
      </c>
      <c r="F74" s="227" t="s">
        <v>27</v>
      </c>
      <c r="G74" s="260">
        <v>5427450.4100000001</v>
      </c>
      <c r="H74" s="260">
        <v>5427450.4100000001</v>
      </c>
      <c r="I74" s="260">
        <v>5427450.4100000001</v>
      </c>
      <c r="J74" s="246"/>
      <c r="K74" s="341"/>
      <c r="L74" s="341"/>
      <c r="M74" s="341"/>
    </row>
    <row r="75" spans="1:13" s="56" customFormat="1" x14ac:dyDescent="0.25">
      <c r="A75" s="22" t="s">
        <v>597</v>
      </c>
      <c r="B75" s="292">
        <v>701</v>
      </c>
      <c r="C75" s="23" t="s">
        <v>15</v>
      </c>
      <c r="D75" s="23" t="s">
        <v>40</v>
      </c>
      <c r="E75" s="23" t="s">
        <v>596</v>
      </c>
      <c r="F75" s="227"/>
      <c r="G75" s="260">
        <f>G76</f>
        <v>2234096</v>
      </c>
      <c r="H75" s="260">
        <f t="shared" ref="H75:I75" si="29">H76</f>
        <v>2234096</v>
      </c>
      <c r="I75" s="260">
        <f t="shared" si="29"/>
        <v>2234096</v>
      </c>
      <c r="J75" s="246"/>
      <c r="K75" s="341"/>
      <c r="L75" s="341"/>
      <c r="M75" s="341"/>
    </row>
    <row r="76" spans="1:13" ht="30.75" x14ac:dyDescent="0.25">
      <c r="A76" s="22" t="s">
        <v>26</v>
      </c>
      <c r="B76" s="293" t="s">
        <v>218</v>
      </c>
      <c r="C76" s="23" t="s">
        <v>15</v>
      </c>
      <c r="D76" s="23" t="s">
        <v>40</v>
      </c>
      <c r="E76" s="23" t="s">
        <v>596</v>
      </c>
      <c r="F76" s="23" t="s">
        <v>27</v>
      </c>
      <c r="G76" s="260">
        <v>2234096</v>
      </c>
      <c r="H76" s="260">
        <v>2234096</v>
      </c>
      <c r="I76" s="260">
        <v>2234096</v>
      </c>
      <c r="K76" s="329"/>
      <c r="L76" s="329"/>
      <c r="M76" s="329"/>
    </row>
    <row r="77" spans="1:13" ht="30.75" x14ac:dyDescent="0.25">
      <c r="A77" s="22" t="s">
        <v>598</v>
      </c>
      <c r="B77" s="292">
        <v>701</v>
      </c>
      <c r="C77" s="23" t="s">
        <v>15</v>
      </c>
      <c r="D77" s="23" t="s">
        <v>40</v>
      </c>
      <c r="E77" s="23" t="s">
        <v>599</v>
      </c>
      <c r="F77" s="23"/>
      <c r="G77" s="260">
        <f>G78</f>
        <v>4113189.13</v>
      </c>
      <c r="H77" s="260">
        <f t="shared" ref="H77:I77" si="30">H78</f>
        <v>2314101.4300000002</v>
      </c>
      <c r="I77" s="260">
        <f t="shared" si="30"/>
        <v>2314101.4300000002</v>
      </c>
      <c r="K77" s="329"/>
      <c r="L77" s="329"/>
      <c r="M77" s="329"/>
    </row>
    <row r="78" spans="1:13" ht="30.75" x14ac:dyDescent="0.25">
      <c r="A78" s="22" t="s">
        <v>26</v>
      </c>
      <c r="B78" s="292">
        <v>701</v>
      </c>
      <c r="C78" s="23" t="s">
        <v>15</v>
      </c>
      <c r="D78" s="23" t="s">
        <v>40</v>
      </c>
      <c r="E78" s="23" t="s">
        <v>599</v>
      </c>
      <c r="F78" s="23" t="s">
        <v>27</v>
      </c>
      <c r="G78" s="260">
        <f>2314101.43+1799087.7</f>
        <v>4113189.13</v>
      </c>
      <c r="H78" s="260">
        <v>2314101.4300000002</v>
      </c>
      <c r="I78" s="260">
        <v>2314101.4300000002</v>
      </c>
      <c r="K78" s="329"/>
      <c r="L78" s="329"/>
      <c r="M78" s="329"/>
    </row>
    <row r="79" spans="1:13" ht="30.75" x14ac:dyDescent="0.25">
      <c r="A79" s="22" t="s">
        <v>145</v>
      </c>
      <c r="B79" s="293" t="s">
        <v>218</v>
      </c>
      <c r="C79" s="23" t="s">
        <v>15</v>
      </c>
      <c r="D79" s="23" t="s">
        <v>40</v>
      </c>
      <c r="E79" s="23" t="s">
        <v>47</v>
      </c>
      <c r="F79" s="23"/>
      <c r="G79" s="260">
        <f>G80+G82+G84</f>
        <v>5895500</v>
      </c>
      <c r="H79" s="260">
        <f t="shared" ref="H79:I79" si="31">H80+H82+H84</f>
        <v>5267500</v>
      </c>
      <c r="I79" s="260">
        <f t="shared" si="31"/>
        <v>5267500</v>
      </c>
      <c r="K79" s="329"/>
      <c r="L79" s="329"/>
      <c r="M79" s="329"/>
    </row>
    <row r="80" spans="1:13" x14ac:dyDescent="0.25">
      <c r="A80" s="22" t="s">
        <v>585</v>
      </c>
      <c r="B80" s="292">
        <v>701</v>
      </c>
      <c r="C80" s="23" t="s">
        <v>15</v>
      </c>
      <c r="D80" s="23" t="s">
        <v>40</v>
      </c>
      <c r="E80" s="23" t="s">
        <v>582</v>
      </c>
      <c r="F80" s="23"/>
      <c r="G80" s="260">
        <f>G81</f>
        <v>50000</v>
      </c>
      <c r="H80" s="260">
        <f t="shared" ref="H80:I80" si="32">H81</f>
        <v>50000</v>
      </c>
      <c r="I80" s="260">
        <f t="shared" si="32"/>
        <v>50000</v>
      </c>
      <c r="K80" s="329"/>
      <c r="L80" s="329"/>
      <c r="M80" s="329"/>
    </row>
    <row r="81" spans="1:13" ht="30.75" x14ac:dyDescent="0.25">
      <c r="A81" s="22" t="s">
        <v>26</v>
      </c>
      <c r="B81" s="293" t="s">
        <v>218</v>
      </c>
      <c r="C81" s="23" t="s">
        <v>15</v>
      </c>
      <c r="D81" s="23" t="s">
        <v>40</v>
      </c>
      <c r="E81" s="23" t="s">
        <v>582</v>
      </c>
      <c r="F81" s="23" t="s">
        <v>27</v>
      </c>
      <c r="G81" s="260">
        <v>50000</v>
      </c>
      <c r="H81" s="260">
        <v>50000</v>
      </c>
      <c r="I81" s="260">
        <v>50000</v>
      </c>
      <c r="K81" s="329"/>
      <c r="L81" s="329"/>
      <c r="M81" s="329"/>
    </row>
    <row r="82" spans="1:13" x14ac:dyDescent="0.25">
      <c r="A82" s="22" t="s">
        <v>586</v>
      </c>
      <c r="B82" s="292">
        <v>701</v>
      </c>
      <c r="C82" s="23" t="s">
        <v>15</v>
      </c>
      <c r="D82" s="23" t="s">
        <v>40</v>
      </c>
      <c r="E82" s="23" t="s">
        <v>583</v>
      </c>
      <c r="F82" s="23"/>
      <c r="G82" s="260">
        <f>G83</f>
        <v>250000</v>
      </c>
      <c r="H82" s="260">
        <f>H83</f>
        <v>250000</v>
      </c>
      <c r="I82" s="260">
        <f>I83</f>
        <v>250000</v>
      </c>
      <c r="K82" s="329"/>
      <c r="L82" s="329"/>
      <c r="M82" s="329"/>
    </row>
    <row r="83" spans="1:13" ht="30.75" x14ac:dyDescent="0.25">
      <c r="A83" s="22" t="s">
        <v>26</v>
      </c>
      <c r="B83" s="293" t="s">
        <v>218</v>
      </c>
      <c r="C83" s="23" t="s">
        <v>15</v>
      </c>
      <c r="D83" s="23" t="s">
        <v>40</v>
      </c>
      <c r="E83" s="23" t="s">
        <v>583</v>
      </c>
      <c r="F83" s="23" t="s">
        <v>27</v>
      </c>
      <c r="G83" s="260">
        <v>250000</v>
      </c>
      <c r="H83" s="260">
        <v>250000</v>
      </c>
      <c r="I83" s="260">
        <v>250000</v>
      </c>
      <c r="K83" s="329"/>
      <c r="L83" s="329"/>
      <c r="M83" s="329"/>
    </row>
    <row r="84" spans="1:13" ht="30.75" x14ac:dyDescent="0.25">
      <c r="A84" s="22" t="s">
        <v>587</v>
      </c>
      <c r="B84" s="292">
        <v>701</v>
      </c>
      <c r="C84" s="23" t="s">
        <v>15</v>
      </c>
      <c r="D84" s="23" t="s">
        <v>40</v>
      </c>
      <c r="E84" s="23" t="s">
        <v>584</v>
      </c>
      <c r="F84" s="23"/>
      <c r="G84" s="260">
        <f>G85</f>
        <v>5595500</v>
      </c>
      <c r="H84" s="260">
        <f t="shared" ref="H84:I84" si="33">H85</f>
        <v>4967500</v>
      </c>
      <c r="I84" s="260">
        <f t="shared" si="33"/>
        <v>4967500</v>
      </c>
      <c r="K84" s="329"/>
      <c r="L84" s="329"/>
      <c r="M84" s="329"/>
    </row>
    <row r="85" spans="1:13" ht="30.75" x14ac:dyDescent="0.25">
      <c r="A85" s="22" t="s">
        <v>26</v>
      </c>
      <c r="B85" s="293" t="s">
        <v>218</v>
      </c>
      <c r="C85" s="23" t="s">
        <v>15</v>
      </c>
      <c r="D85" s="23" t="s">
        <v>40</v>
      </c>
      <c r="E85" s="23" t="s">
        <v>584</v>
      </c>
      <c r="F85" s="23" t="s">
        <v>27</v>
      </c>
      <c r="G85" s="260">
        <f>4967500+580000+48000</f>
        <v>5595500</v>
      </c>
      <c r="H85" s="260">
        <v>4967500</v>
      </c>
      <c r="I85" s="260">
        <v>4967500</v>
      </c>
      <c r="K85" s="329"/>
      <c r="L85" s="329"/>
      <c r="M85" s="329"/>
    </row>
    <row r="86" spans="1:13" x14ac:dyDescent="0.25">
      <c r="A86" s="22" t="s">
        <v>50</v>
      </c>
      <c r="B86" s="292">
        <v>701</v>
      </c>
      <c r="C86" s="23" t="s">
        <v>15</v>
      </c>
      <c r="D86" s="23" t="s">
        <v>40</v>
      </c>
      <c r="E86" s="23" t="s">
        <v>51</v>
      </c>
      <c r="F86" s="23"/>
      <c r="G86" s="260">
        <f>G87</f>
        <v>40822882.960000001</v>
      </c>
      <c r="H86" s="260">
        <f t="shared" ref="H86:I86" si="34">H87</f>
        <v>40822882.960000001</v>
      </c>
      <c r="I86" s="260">
        <f t="shared" si="34"/>
        <v>40822882.960000001</v>
      </c>
      <c r="K86" s="329"/>
      <c r="L86" s="329"/>
      <c r="M86" s="329"/>
    </row>
    <row r="87" spans="1:13" ht="30.75" x14ac:dyDescent="0.25">
      <c r="A87" s="22" t="s">
        <v>165</v>
      </c>
      <c r="B87" s="293" t="s">
        <v>218</v>
      </c>
      <c r="C87" s="23" t="s">
        <v>15</v>
      </c>
      <c r="D87" s="23" t="s">
        <v>40</v>
      </c>
      <c r="E87" s="23" t="s">
        <v>549</v>
      </c>
      <c r="F87" s="23"/>
      <c r="G87" s="260">
        <f>SUM(G88:G90)</f>
        <v>40822882.960000001</v>
      </c>
      <c r="H87" s="260">
        <f t="shared" ref="H87:I87" si="35">SUM(H88:H90)</f>
        <v>40822882.960000001</v>
      </c>
      <c r="I87" s="260">
        <f t="shared" si="35"/>
        <v>40822882.960000001</v>
      </c>
      <c r="K87" s="329"/>
      <c r="L87" s="329"/>
      <c r="M87" s="329"/>
    </row>
    <row r="88" spans="1:13" ht="75.75" x14ac:dyDescent="0.25">
      <c r="A88" s="22" t="s">
        <v>22</v>
      </c>
      <c r="B88" s="292">
        <v>701</v>
      </c>
      <c r="C88" s="23" t="s">
        <v>15</v>
      </c>
      <c r="D88" s="23" t="s">
        <v>40</v>
      </c>
      <c r="E88" s="23" t="s">
        <v>549</v>
      </c>
      <c r="F88" s="23" t="s">
        <v>23</v>
      </c>
      <c r="G88" s="261">
        <v>37635314.32</v>
      </c>
      <c r="H88" s="261">
        <v>37635314.32</v>
      </c>
      <c r="I88" s="261">
        <v>37635314.32</v>
      </c>
      <c r="J88" s="247"/>
      <c r="K88" s="329"/>
      <c r="L88" s="329"/>
      <c r="M88" s="329"/>
    </row>
    <row r="89" spans="1:13" ht="30.75" x14ac:dyDescent="0.25">
      <c r="A89" s="22" t="s">
        <v>26</v>
      </c>
      <c r="B89" s="293" t="s">
        <v>218</v>
      </c>
      <c r="C89" s="23" t="s">
        <v>15</v>
      </c>
      <c r="D89" s="23" t="s">
        <v>40</v>
      </c>
      <c r="E89" s="23" t="s">
        <v>549</v>
      </c>
      <c r="F89" s="23" t="s">
        <v>27</v>
      </c>
      <c r="G89" s="261">
        <v>3182568.64</v>
      </c>
      <c r="H89" s="261">
        <v>3182568.64</v>
      </c>
      <c r="I89" s="261">
        <v>3182568.64</v>
      </c>
      <c r="J89" s="247"/>
      <c r="K89" s="329"/>
      <c r="L89" s="329"/>
      <c r="M89" s="329"/>
    </row>
    <row r="90" spans="1:13" s="29" customFormat="1" x14ac:dyDescent="0.25">
      <c r="A90" s="22" t="s">
        <v>28</v>
      </c>
      <c r="B90" s="292">
        <v>701</v>
      </c>
      <c r="C90" s="23" t="s">
        <v>15</v>
      </c>
      <c r="D90" s="23" t="s">
        <v>40</v>
      </c>
      <c r="E90" s="23" t="s">
        <v>549</v>
      </c>
      <c r="F90" s="23" t="s">
        <v>29</v>
      </c>
      <c r="G90" s="261">
        <v>5000</v>
      </c>
      <c r="H90" s="261">
        <v>5000</v>
      </c>
      <c r="I90" s="261">
        <v>5000</v>
      </c>
      <c r="J90" s="248"/>
      <c r="K90" s="330"/>
      <c r="L90" s="330"/>
      <c r="M90" s="330"/>
    </row>
    <row r="91" spans="1:13" x14ac:dyDescent="0.25">
      <c r="A91" s="18" t="s">
        <v>18</v>
      </c>
      <c r="B91" s="293" t="s">
        <v>218</v>
      </c>
      <c r="C91" s="19" t="s">
        <v>15</v>
      </c>
      <c r="D91" s="19" t="s">
        <v>40</v>
      </c>
      <c r="E91" s="30">
        <v>9900000000</v>
      </c>
      <c r="F91" s="19"/>
      <c r="G91" s="20">
        <f>G92+G101</f>
        <v>591872842.27333331</v>
      </c>
      <c r="H91" s="20">
        <f t="shared" ref="H91:I91" si="36">H92+H101</f>
        <v>559524335.84000003</v>
      </c>
      <c r="I91" s="20">
        <f t="shared" si="36"/>
        <v>560073490.74000001</v>
      </c>
      <c r="K91" s="329"/>
      <c r="L91" s="329"/>
      <c r="M91" s="329"/>
    </row>
    <row r="92" spans="1:13" ht="30.75" x14ac:dyDescent="0.25">
      <c r="A92" s="22" t="s">
        <v>20</v>
      </c>
      <c r="B92" s="292">
        <v>701</v>
      </c>
      <c r="C92" s="23" t="s">
        <v>15</v>
      </c>
      <c r="D92" s="23" t="s">
        <v>40</v>
      </c>
      <c r="E92" s="31">
        <v>9910000000</v>
      </c>
      <c r="F92" s="23"/>
      <c r="G92" s="24">
        <f>G93+G95</f>
        <v>545858258.18333328</v>
      </c>
      <c r="H92" s="24">
        <f t="shared" ref="H92:I92" si="37">H93+H95</f>
        <v>553485256.84000003</v>
      </c>
      <c r="I92" s="24">
        <f t="shared" si="37"/>
        <v>553770520.84000003</v>
      </c>
      <c r="K92" s="329"/>
      <c r="L92" s="329"/>
      <c r="M92" s="329"/>
    </row>
    <row r="93" spans="1:13" ht="30.75" x14ac:dyDescent="0.25">
      <c r="A93" s="22" t="s">
        <v>159</v>
      </c>
      <c r="B93" s="293" t="s">
        <v>218</v>
      </c>
      <c r="C93" s="23" t="s">
        <v>15</v>
      </c>
      <c r="D93" s="23" t="s">
        <v>40</v>
      </c>
      <c r="E93" s="31">
        <v>9910011410</v>
      </c>
      <c r="F93" s="23"/>
      <c r="G93" s="24">
        <f>G94</f>
        <v>1581356.2533333334</v>
      </c>
      <c r="H93" s="24">
        <f t="shared" ref="H93:I93" si="38">H94</f>
        <v>1581356.25</v>
      </c>
      <c r="I93" s="24">
        <f t="shared" si="38"/>
        <v>1581356.25</v>
      </c>
      <c r="K93" s="329"/>
      <c r="L93" s="329"/>
      <c r="M93" s="329"/>
    </row>
    <row r="94" spans="1:13" ht="75.75" x14ac:dyDescent="0.25">
      <c r="A94" s="22" t="s">
        <v>22</v>
      </c>
      <c r="B94" s="292">
        <v>701</v>
      </c>
      <c r="C94" s="23" t="s">
        <v>15</v>
      </c>
      <c r="D94" s="23" t="s">
        <v>40</v>
      </c>
      <c r="E94" s="31">
        <v>9910011410</v>
      </c>
      <c r="F94" s="23" t="s">
        <v>23</v>
      </c>
      <c r="G94" s="24">
        <f>'Приложение 2'!F63</f>
        <v>1581356.2533333334</v>
      </c>
      <c r="H94" s="24">
        <f>'Приложение 2'!G63</f>
        <v>1581356.25</v>
      </c>
      <c r="I94" s="24">
        <f>'Приложение 2'!H63</f>
        <v>1581356.25</v>
      </c>
      <c r="K94" s="329"/>
      <c r="L94" s="329"/>
      <c r="M94" s="329"/>
    </row>
    <row r="95" spans="1:13" ht="30.75" x14ac:dyDescent="0.25">
      <c r="A95" s="22" t="s">
        <v>165</v>
      </c>
      <c r="B95" s="292">
        <v>701</v>
      </c>
      <c r="C95" s="23" t="s">
        <v>15</v>
      </c>
      <c r="D95" s="23" t="s">
        <v>40</v>
      </c>
      <c r="E95" s="31">
        <v>9910022001</v>
      </c>
      <c r="F95" s="23"/>
      <c r="G95" s="24">
        <f>SUM(G96:G100)</f>
        <v>544276901.92999995</v>
      </c>
      <c r="H95" s="24">
        <f t="shared" ref="H95:I95" si="39">SUM(H96:H100)</f>
        <v>551903900.59000003</v>
      </c>
      <c r="I95" s="24">
        <f t="shared" si="39"/>
        <v>552189164.59000003</v>
      </c>
      <c r="K95" s="329"/>
      <c r="L95" s="329"/>
      <c r="M95" s="329"/>
    </row>
    <row r="96" spans="1:13" ht="75.75" x14ac:dyDescent="0.25">
      <c r="A96" s="22" t="s">
        <v>22</v>
      </c>
      <c r="B96" s="293" t="s">
        <v>218</v>
      </c>
      <c r="C96" s="23" t="s">
        <v>15</v>
      </c>
      <c r="D96" s="23" t="s">
        <v>40</v>
      </c>
      <c r="E96" s="31">
        <v>9910022001</v>
      </c>
      <c r="F96" s="23" t="s">
        <v>23</v>
      </c>
      <c r="G96" s="24">
        <f>'Приложение 2'!F65+'Приложение 2'!F67+'Приложение 2'!F72+'Приложение 2'!F76+'Приложение 2'!F80</f>
        <v>148146576.66999999</v>
      </c>
      <c r="H96" s="24">
        <f>'Приложение 2'!G65+'Приложение 2'!G67+'Приложение 2'!G72+'Приложение 2'!G76+'Приложение 2'!G80</f>
        <v>148330884.81</v>
      </c>
      <c r="I96" s="24">
        <f>'Приложение 2'!H65+'Приложение 2'!H67+'Приложение 2'!H72+'Приложение 2'!H76+'Приложение 2'!H80</f>
        <v>148434064.81</v>
      </c>
      <c r="K96" s="329"/>
      <c r="L96" s="329"/>
      <c r="M96" s="329"/>
    </row>
    <row r="97" spans="1:13" ht="30.75" x14ac:dyDescent="0.25">
      <c r="A97" s="22" t="s">
        <v>26</v>
      </c>
      <c r="B97" s="292">
        <v>701</v>
      </c>
      <c r="C97" s="23" t="s">
        <v>15</v>
      </c>
      <c r="D97" s="23" t="s">
        <v>40</v>
      </c>
      <c r="E97" s="31">
        <v>9910022001</v>
      </c>
      <c r="F97" s="23" t="s">
        <v>27</v>
      </c>
      <c r="G97" s="24">
        <f>'Приложение 2'!F68+'Приложение 2'!F73+'Приложение 2'!F77+'Приложение 2'!F81</f>
        <v>14339040.5</v>
      </c>
      <c r="H97" s="24">
        <f>'Приложение 2'!G68+'Приложение 2'!G73+'Приложение 2'!G77+'Приложение 2'!G81</f>
        <v>16224315.359999999</v>
      </c>
      <c r="I97" s="24">
        <f>'Приложение 2'!H68+'Приложение 2'!H73+'Приложение 2'!H77+'Приложение 2'!H81</f>
        <v>16406399.359999999</v>
      </c>
      <c r="K97" s="329"/>
      <c r="L97" s="329"/>
      <c r="M97" s="329"/>
    </row>
    <row r="98" spans="1:13" x14ac:dyDescent="0.25">
      <c r="A98" s="22" t="s">
        <v>52</v>
      </c>
      <c r="B98" s="293" t="s">
        <v>218</v>
      </c>
      <c r="C98" s="23" t="s">
        <v>15</v>
      </c>
      <c r="D98" s="23" t="s">
        <v>40</v>
      </c>
      <c r="E98" s="31">
        <v>9910022001</v>
      </c>
      <c r="F98" s="23" t="s">
        <v>53</v>
      </c>
      <c r="G98" s="24">
        <f>'Приложение 3'!F66</f>
        <v>81684.639999999999</v>
      </c>
      <c r="H98" s="24">
        <f>'Приложение 3'!G66</f>
        <v>0</v>
      </c>
      <c r="I98" s="24">
        <f>'Приложение 3'!H66</f>
        <v>0</v>
      </c>
      <c r="K98" s="329"/>
      <c r="L98" s="329"/>
      <c r="M98" s="329"/>
    </row>
    <row r="99" spans="1:13" ht="30.75" x14ac:dyDescent="0.25">
      <c r="A99" s="32" t="s">
        <v>54</v>
      </c>
      <c r="B99" s="292">
        <v>701</v>
      </c>
      <c r="C99" s="23" t="s">
        <v>15</v>
      </c>
      <c r="D99" s="23" t="s">
        <v>40</v>
      </c>
      <c r="E99" s="31">
        <v>9910022001</v>
      </c>
      <c r="F99" s="23" t="s">
        <v>55</v>
      </c>
      <c r="G99" s="24">
        <f>'Приложение 2'!F70</f>
        <v>381709600.11999995</v>
      </c>
      <c r="H99" s="24">
        <f>'Приложение 2'!G70</f>
        <v>387348700.42000002</v>
      </c>
      <c r="I99" s="24">
        <f>'Приложение 2'!H70</f>
        <v>387348700.42000002</v>
      </c>
      <c r="K99" s="329"/>
      <c r="L99" s="329"/>
      <c r="M99" s="329"/>
    </row>
    <row r="100" spans="1:13" x14ac:dyDescent="0.25">
      <c r="A100" s="22" t="s">
        <v>28</v>
      </c>
      <c r="B100" s="293" t="s">
        <v>218</v>
      </c>
      <c r="C100" s="23" t="s">
        <v>15</v>
      </c>
      <c r="D100" s="23" t="s">
        <v>40</v>
      </c>
      <c r="E100" s="31">
        <v>9910022001</v>
      </c>
      <c r="F100" s="23" t="s">
        <v>29</v>
      </c>
      <c r="G100" s="24">
        <f>'Приложение 2'!F78</f>
        <v>0</v>
      </c>
      <c r="H100" s="24">
        <f>'Приложение 2'!G78</f>
        <v>0</v>
      </c>
      <c r="I100" s="24">
        <f>'Приложение 2'!H78</f>
        <v>0</v>
      </c>
      <c r="K100" s="329"/>
      <c r="L100" s="329"/>
      <c r="M100" s="329"/>
    </row>
    <row r="101" spans="1:13" s="29" customFormat="1" x14ac:dyDescent="0.25">
      <c r="A101" s="22" t="s">
        <v>56</v>
      </c>
      <c r="B101" s="292">
        <v>701</v>
      </c>
      <c r="C101" s="23" t="s">
        <v>15</v>
      </c>
      <c r="D101" s="23" t="s">
        <v>40</v>
      </c>
      <c r="E101" s="23" t="s">
        <v>38</v>
      </c>
      <c r="F101" s="23"/>
      <c r="G101" s="24">
        <f>G104+G110+G112+G102</f>
        <v>46014584.090000004</v>
      </c>
      <c r="H101" s="24">
        <f t="shared" ref="H101:I101" si="40">H104+H110+H112+H102</f>
        <v>6039079</v>
      </c>
      <c r="I101" s="24">
        <f t="shared" si="40"/>
        <v>6302969.9000000004</v>
      </c>
      <c r="J101" s="248"/>
      <c r="K101" s="330"/>
      <c r="L101" s="330"/>
      <c r="M101" s="330"/>
    </row>
    <row r="102" spans="1:13" s="29" customFormat="1" ht="30.75" x14ac:dyDescent="0.25">
      <c r="A102" s="22" t="s">
        <v>681</v>
      </c>
      <c r="B102" s="293" t="s">
        <v>218</v>
      </c>
      <c r="C102" s="23" t="s">
        <v>15</v>
      </c>
      <c r="D102" s="23" t="s">
        <v>40</v>
      </c>
      <c r="E102" s="23">
        <v>9950091017</v>
      </c>
      <c r="F102" s="23"/>
      <c r="G102" s="24">
        <f>G103</f>
        <v>225000</v>
      </c>
      <c r="H102" s="24">
        <f t="shared" ref="H102:I102" si="41">H103</f>
        <v>0</v>
      </c>
      <c r="I102" s="24">
        <f t="shared" si="41"/>
        <v>0</v>
      </c>
      <c r="J102" s="248"/>
      <c r="K102" s="330"/>
      <c r="L102" s="330"/>
      <c r="M102" s="330"/>
    </row>
    <row r="103" spans="1:13" s="29" customFormat="1" x14ac:dyDescent="0.25">
      <c r="A103" s="22" t="s">
        <v>28</v>
      </c>
      <c r="B103" s="292">
        <v>701</v>
      </c>
      <c r="C103" s="23" t="s">
        <v>15</v>
      </c>
      <c r="D103" s="23" t="s">
        <v>40</v>
      </c>
      <c r="E103" s="23">
        <v>9950091017</v>
      </c>
      <c r="F103" s="23" t="s">
        <v>29</v>
      </c>
      <c r="G103" s="24">
        <f>'Приложение 2'!F85</f>
        <v>225000</v>
      </c>
      <c r="H103" s="24">
        <f>'Приложение 2'!G85</f>
        <v>0</v>
      </c>
      <c r="I103" s="24">
        <f>'Приложение 2'!H85</f>
        <v>0</v>
      </c>
      <c r="J103" s="248"/>
      <c r="K103" s="330"/>
      <c r="L103" s="330"/>
      <c r="M103" s="330"/>
    </row>
    <row r="104" spans="1:13" s="29" customFormat="1" ht="30.75" x14ac:dyDescent="0.25">
      <c r="A104" s="22" t="s">
        <v>166</v>
      </c>
      <c r="B104" s="293" t="s">
        <v>218</v>
      </c>
      <c r="C104" s="23" t="s">
        <v>15</v>
      </c>
      <c r="D104" s="23" t="s">
        <v>40</v>
      </c>
      <c r="E104" s="23" t="s">
        <v>167</v>
      </c>
      <c r="F104" s="23"/>
      <c r="G104" s="24">
        <f>SUM(G105:G109)</f>
        <v>36243978.109999999</v>
      </c>
      <c r="H104" s="24">
        <f t="shared" ref="H104:I104" si="42">SUM(H105:H109)</f>
        <v>5809199</v>
      </c>
      <c r="I104" s="24">
        <f t="shared" si="42"/>
        <v>6073089.9000000004</v>
      </c>
      <c r="J104" s="248"/>
      <c r="K104" s="330"/>
      <c r="L104" s="330"/>
      <c r="M104" s="330"/>
    </row>
    <row r="105" spans="1:13" s="29" customFormat="1" ht="75.75" x14ac:dyDescent="0.25">
      <c r="A105" s="22" t="s">
        <v>22</v>
      </c>
      <c r="B105" s="293">
        <v>701</v>
      </c>
      <c r="C105" s="23" t="s">
        <v>15</v>
      </c>
      <c r="D105" s="23" t="s">
        <v>40</v>
      </c>
      <c r="E105" s="23" t="s">
        <v>167</v>
      </c>
      <c r="F105" s="23" t="s">
        <v>23</v>
      </c>
      <c r="G105" s="24">
        <f>'Приложение 2'!F87</f>
        <v>146905</v>
      </c>
      <c r="H105" s="24">
        <f>'Приложение 2'!G87</f>
        <v>0</v>
      </c>
      <c r="I105" s="24">
        <f>'Приложение 2'!H87</f>
        <v>0</v>
      </c>
      <c r="J105" s="248"/>
      <c r="K105" s="330"/>
      <c r="L105" s="330"/>
      <c r="M105" s="330"/>
    </row>
    <row r="106" spans="1:13" s="21" customFormat="1" ht="30.75" x14ac:dyDescent="0.25">
      <c r="A106" s="22" t="s">
        <v>26</v>
      </c>
      <c r="B106" s="292">
        <v>701</v>
      </c>
      <c r="C106" s="23" t="s">
        <v>15</v>
      </c>
      <c r="D106" s="23" t="s">
        <v>40</v>
      </c>
      <c r="E106" s="23" t="s">
        <v>167</v>
      </c>
      <c r="F106" s="23" t="s">
        <v>27</v>
      </c>
      <c r="G106" s="24">
        <f>'Приложение 2'!F88</f>
        <v>7940205.7300000004</v>
      </c>
      <c r="H106" s="24">
        <f>'Приложение 2'!G88</f>
        <v>5809199</v>
      </c>
      <c r="I106" s="24">
        <f>'Приложение 2'!H88</f>
        <v>6073089.9000000004</v>
      </c>
      <c r="J106" s="245"/>
      <c r="K106" s="342"/>
      <c r="L106" s="342"/>
      <c r="M106" s="342"/>
    </row>
    <row r="107" spans="1:13" s="21" customFormat="1" x14ac:dyDescent="0.25">
      <c r="A107" s="22" t="s">
        <v>52</v>
      </c>
      <c r="B107" s="293" t="s">
        <v>218</v>
      </c>
      <c r="C107" s="23" t="s">
        <v>15</v>
      </c>
      <c r="D107" s="23" t="s">
        <v>40</v>
      </c>
      <c r="E107" s="23" t="s">
        <v>167</v>
      </c>
      <c r="F107" s="23" t="s">
        <v>53</v>
      </c>
      <c r="G107" s="24">
        <f>'Приложение 2'!F89</f>
        <v>1413931</v>
      </c>
      <c r="H107" s="24">
        <f>'Приложение 2'!G89</f>
        <v>0</v>
      </c>
      <c r="I107" s="24">
        <f>'Приложение 2'!H89</f>
        <v>0</v>
      </c>
      <c r="J107" s="245"/>
      <c r="K107" s="342"/>
      <c r="L107" s="342"/>
      <c r="M107" s="342"/>
    </row>
    <row r="108" spans="1:13" s="21" customFormat="1" ht="30.75" x14ac:dyDescent="0.25">
      <c r="A108" s="22" t="s">
        <v>54</v>
      </c>
      <c r="B108" s="292">
        <v>701</v>
      </c>
      <c r="C108" s="23" t="s">
        <v>15</v>
      </c>
      <c r="D108" s="23" t="s">
        <v>40</v>
      </c>
      <c r="E108" s="23" t="s">
        <v>167</v>
      </c>
      <c r="F108" s="23" t="s">
        <v>55</v>
      </c>
      <c r="G108" s="24">
        <f>'Приложение 2'!F90</f>
        <v>19444414.380000003</v>
      </c>
      <c r="H108" s="24">
        <f>'Приложение 2'!G90</f>
        <v>0</v>
      </c>
      <c r="I108" s="24">
        <f>'Приложение 2'!H90</f>
        <v>0</v>
      </c>
      <c r="J108" s="245"/>
      <c r="K108" s="342"/>
      <c r="L108" s="342"/>
      <c r="M108" s="342"/>
    </row>
    <row r="109" spans="1:13" s="21" customFormat="1" x14ac:dyDescent="0.25">
      <c r="A109" s="22" t="s">
        <v>28</v>
      </c>
      <c r="B109" s="293" t="s">
        <v>218</v>
      </c>
      <c r="C109" s="23" t="s">
        <v>15</v>
      </c>
      <c r="D109" s="23" t="s">
        <v>40</v>
      </c>
      <c r="E109" s="23" t="s">
        <v>167</v>
      </c>
      <c r="F109" s="23" t="s">
        <v>29</v>
      </c>
      <c r="G109" s="24">
        <f>'Приложение 2'!F91</f>
        <v>7298522</v>
      </c>
      <c r="H109" s="24">
        <f>'Приложение 2'!G91</f>
        <v>0</v>
      </c>
      <c r="I109" s="24">
        <f>'Приложение 2'!H91</f>
        <v>0</v>
      </c>
      <c r="J109" s="245"/>
      <c r="K109" s="342"/>
      <c r="L109" s="342"/>
      <c r="M109" s="342"/>
    </row>
    <row r="110" spans="1:13" s="21" customFormat="1" ht="30.75" x14ac:dyDescent="0.25">
      <c r="A110" s="22" t="s">
        <v>542</v>
      </c>
      <c r="B110" s="292">
        <v>701</v>
      </c>
      <c r="C110" s="23" t="s">
        <v>15</v>
      </c>
      <c r="D110" s="23" t="s">
        <v>40</v>
      </c>
      <c r="E110" s="23" t="s">
        <v>541</v>
      </c>
      <c r="F110" s="23"/>
      <c r="G110" s="24">
        <f>G111</f>
        <v>9315725.9800000004</v>
      </c>
      <c r="H110" s="24">
        <f>H111</f>
        <v>0</v>
      </c>
      <c r="I110" s="24">
        <f>I111</f>
        <v>0</v>
      </c>
      <c r="J110" s="245"/>
      <c r="K110" s="342"/>
      <c r="L110" s="342"/>
      <c r="M110" s="342"/>
    </row>
    <row r="111" spans="1:13" s="21" customFormat="1" x14ac:dyDescent="0.25">
      <c r="A111" s="22" t="s">
        <v>28</v>
      </c>
      <c r="B111" s="293" t="s">
        <v>218</v>
      </c>
      <c r="C111" s="23" t="s">
        <v>15</v>
      </c>
      <c r="D111" s="23" t="s">
        <v>40</v>
      </c>
      <c r="E111" s="23" t="s">
        <v>541</v>
      </c>
      <c r="F111" s="23" t="s">
        <v>29</v>
      </c>
      <c r="G111" s="24">
        <f>'Приложение 2'!F97+'Приложение 2'!F99</f>
        <v>9315725.9800000004</v>
      </c>
      <c r="H111" s="24">
        <f>'Приложение 2'!G97+'Приложение 2'!G99</f>
        <v>0</v>
      </c>
      <c r="I111" s="24">
        <f>'Приложение 2'!H97+'Приложение 2'!H99</f>
        <v>0</v>
      </c>
      <c r="J111" s="245"/>
      <c r="K111" s="342"/>
      <c r="L111" s="342"/>
      <c r="M111" s="342"/>
    </row>
    <row r="112" spans="1:13" s="21" customFormat="1" ht="30.75" x14ac:dyDescent="0.25">
      <c r="A112" s="22" t="s">
        <v>168</v>
      </c>
      <c r="B112" s="292">
        <v>701</v>
      </c>
      <c r="C112" s="23" t="s">
        <v>15</v>
      </c>
      <c r="D112" s="23" t="s">
        <v>40</v>
      </c>
      <c r="E112" s="23" t="s">
        <v>169</v>
      </c>
      <c r="F112" s="23"/>
      <c r="G112" s="24">
        <f>G113</f>
        <v>229880</v>
      </c>
      <c r="H112" s="24">
        <f>H113</f>
        <v>229880</v>
      </c>
      <c r="I112" s="24">
        <f>I113</f>
        <v>229880</v>
      </c>
      <c r="J112" s="245"/>
      <c r="K112" s="342"/>
      <c r="L112" s="342"/>
      <c r="M112" s="342"/>
    </row>
    <row r="113" spans="1:13" s="29" customFormat="1" x14ac:dyDescent="0.25">
      <c r="A113" s="22" t="s">
        <v>52</v>
      </c>
      <c r="B113" s="292">
        <v>701</v>
      </c>
      <c r="C113" s="23" t="s">
        <v>15</v>
      </c>
      <c r="D113" s="23" t="s">
        <v>40</v>
      </c>
      <c r="E113" s="23" t="s">
        <v>169</v>
      </c>
      <c r="F113" s="23" t="s">
        <v>53</v>
      </c>
      <c r="G113" s="24">
        <f>'Приложение 2'!F95</f>
        <v>229880</v>
      </c>
      <c r="H113" s="24">
        <f>'Приложение 2'!G95</f>
        <v>229880</v>
      </c>
      <c r="I113" s="24">
        <f>'Приложение 2'!H95</f>
        <v>229880</v>
      </c>
      <c r="J113" s="248"/>
      <c r="K113" s="330"/>
      <c r="L113" s="330"/>
      <c r="M113" s="330"/>
    </row>
    <row r="114" spans="1:13" s="33" customFormat="1" ht="31.5" x14ac:dyDescent="0.25">
      <c r="A114" s="18" t="s">
        <v>57</v>
      </c>
      <c r="B114" s="293" t="s">
        <v>218</v>
      </c>
      <c r="C114" s="19" t="s">
        <v>25</v>
      </c>
      <c r="D114" s="19"/>
      <c r="E114" s="19"/>
      <c r="F114" s="19"/>
      <c r="G114" s="20">
        <f t="shared" ref="G114:I115" si="43">G115</f>
        <v>16368913</v>
      </c>
      <c r="H114" s="20">
        <f t="shared" si="43"/>
        <v>15601670</v>
      </c>
      <c r="I114" s="20">
        <f t="shared" si="43"/>
        <v>15552127</v>
      </c>
      <c r="J114" s="96"/>
      <c r="K114" s="333"/>
      <c r="L114" s="333"/>
      <c r="M114" s="333"/>
    </row>
    <row r="115" spans="1:13" s="33" customFormat="1" ht="63" x14ac:dyDescent="0.25">
      <c r="A115" s="18" t="s">
        <v>58</v>
      </c>
      <c r="B115" s="292">
        <v>701</v>
      </c>
      <c r="C115" s="19" t="s">
        <v>25</v>
      </c>
      <c r="D115" s="19" t="s">
        <v>59</v>
      </c>
      <c r="E115" s="19"/>
      <c r="F115" s="19"/>
      <c r="G115" s="20">
        <f>G116</f>
        <v>16368913</v>
      </c>
      <c r="H115" s="20">
        <f t="shared" si="43"/>
        <v>15601670</v>
      </c>
      <c r="I115" s="20">
        <f t="shared" si="43"/>
        <v>15552127</v>
      </c>
      <c r="J115" s="96"/>
      <c r="K115" s="333"/>
      <c r="L115" s="333"/>
      <c r="M115" s="333"/>
    </row>
    <row r="116" spans="1:13" s="29" customFormat="1" x14ac:dyDescent="0.25">
      <c r="A116" s="34" t="s">
        <v>18</v>
      </c>
      <c r="B116" s="293" t="s">
        <v>218</v>
      </c>
      <c r="C116" s="19" t="s">
        <v>25</v>
      </c>
      <c r="D116" s="19" t="s">
        <v>59</v>
      </c>
      <c r="E116" s="30">
        <v>9900000000</v>
      </c>
      <c r="F116" s="30"/>
      <c r="G116" s="20">
        <f>G117+G121</f>
        <v>16368913</v>
      </c>
      <c r="H116" s="20">
        <f t="shared" ref="H116:I116" si="44">H117+H121</f>
        <v>15601670</v>
      </c>
      <c r="I116" s="20">
        <f t="shared" si="44"/>
        <v>15552127</v>
      </c>
      <c r="J116" s="248"/>
      <c r="K116" s="330"/>
      <c r="L116" s="330"/>
      <c r="M116" s="330"/>
    </row>
    <row r="117" spans="1:13" s="29" customFormat="1" ht="30.75" x14ac:dyDescent="0.25">
      <c r="A117" s="22" t="s">
        <v>20</v>
      </c>
      <c r="B117" s="292">
        <v>701</v>
      </c>
      <c r="C117" s="23" t="s">
        <v>25</v>
      </c>
      <c r="D117" s="23" t="s">
        <v>59</v>
      </c>
      <c r="E117" s="31">
        <v>9910000000</v>
      </c>
      <c r="F117" s="31"/>
      <c r="G117" s="24">
        <f>G118</f>
        <v>15368913</v>
      </c>
      <c r="H117" s="24">
        <f t="shared" ref="H117:I117" si="45">H118</f>
        <v>14601670</v>
      </c>
      <c r="I117" s="24">
        <f t="shared" si="45"/>
        <v>14552127</v>
      </c>
      <c r="J117" s="248"/>
      <c r="K117" s="330"/>
      <c r="L117" s="330"/>
      <c r="M117" s="330"/>
    </row>
    <row r="118" spans="1:13" s="29" customFormat="1" ht="30.75" x14ac:dyDescent="0.25">
      <c r="A118" s="22" t="s">
        <v>165</v>
      </c>
      <c r="B118" s="293" t="s">
        <v>218</v>
      </c>
      <c r="C118" s="23" t="s">
        <v>25</v>
      </c>
      <c r="D118" s="23" t="s">
        <v>59</v>
      </c>
      <c r="E118" s="31">
        <v>9910022001</v>
      </c>
      <c r="F118" s="31"/>
      <c r="G118" s="24">
        <f>SUM(G119:G120)</f>
        <v>15368913</v>
      </c>
      <c r="H118" s="24">
        <f t="shared" ref="H118:I118" si="46">SUM(H119:H120)</f>
        <v>14601670</v>
      </c>
      <c r="I118" s="24">
        <f t="shared" si="46"/>
        <v>14552127</v>
      </c>
      <c r="J118" s="248"/>
      <c r="K118" s="330"/>
      <c r="L118" s="330"/>
      <c r="M118" s="330"/>
    </row>
    <row r="119" spans="1:13" s="29" customFormat="1" ht="75.75" x14ac:dyDescent="0.25">
      <c r="A119" s="22" t="s">
        <v>22</v>
      </c>
      <c r="B119" s="292">
        <v>701</v>
      </c>
      <c r="C119" s="23" t="s">
        <v>25</v>
      </c>
      <c r="D119" s="23" t="s">
        <v>59</v>
      </c>
      <c r="E119" s="31">
        <v>9910022001</v>
      </c>
      <c r="F119" s="23" t="s">
        <v>23</v>
      </c>
      <c r="G119" s="24">
        <f>'Приложение 2'!F109</f>
        <v>10916155</v>
      </c>
      <c r="H119" s="24">
        <f>'Приложение 2'!G109</f>
        <v>10916155</v>
      </c>
      <c r="I119" s="24">
        <f>'Приложение 2'!H109</f>
        <v>10916155</v>
      </c>
      <c r="J119" s="248"/>
      <c r="K119" s="330"/>
      <c r="L119" s="330"/>
      <c r="M119" s="330"/>
    </row>
    <row r="120" spans="1:13" s="29" customFormat="1" ht="30.75" x14ac:dyDescent="0.25">
      <c r="A120" s="22" t="s">
        <v>26</v>
      </c>
      <c r="B120" s="293" t="s">
        <v>218</v>
      </c>
      <c r="C120" s="23" t="s">
        <v>25</v>
      </c>
      <c r="D120" s="23" t="s">
        <v>59</v>
      </c>
      <c r="E120" s="31">
        <v>9910022001</v>
      </c>
      <c r="F120" s="23" t="s">
        <v>27</v>
      </c>
      <c r="G120" s="24">
        <f>'Приложение 2'!F110</f>
        <v>4452758</v>
      </c>
      <c r="H120" s="24">
        <f>'Приложение 2'!G110</f>
        <v>3685515</v>
      </c>
      <c r="I120" s="24">
        <f>'Приложение 2'!H110</f>
        <v>3635972</v>
      </c>
      <c r="J120" s="248"/>
      <c r="K120" s="330"/>
      <c r="L120" s="330"/>
      <c r="M120" s="330"/>
    </row>
    <row r="121" spans="1:13" s="29" customFormat="1" x14ac:dyDescent="0.25">
      <c r="A121" s="22" t="s">
        <v>56</v>
      </c>
      <c r="B121" s="292">
        <v>701</v>
      </c>
      <c r="C121" s="23" t="s">
        <v>25</v>
      </c>
      <c r="D121" s="23" t="s">
        <v>59</v>
      </c>
      <c r="E121" s="31">
        <v>9950000000</v>
      </c>
      <c r="F121" s="31"/>
      <c r="G121" s="24">
        <f t="shared" ref="G121:I122" si="47">G122</f>
        <v>1000000</v>
      </c>
      <c r="H121" s="24">
        <f t="shared" si="47"/>
        <v>1000000</v>
      </c>
      <c r="I121" s="24">
        <f t="shared" si="47"/>
        <v>1000000</v>
      </c>
      <c r="J121" s="248"/>
      <c r="K121" s="330"/>
      <c r="L121" s="330"/>
      <c r="M121" s="330"/>
    </row>
    <row r="122" spans="1:13" s="29" customFormat="1" ht="45.75" x14ac:dyDescent="0.25">
      <c r="A122" s="22" t="s">
        <v>170</v>
      </c>
      <c r="B122" s="293" t="s">
        <v>218</v>
      </c>
      <c r="C122" s="23" t="s">
        <v>25</v>
      </c>
      <c r="D122" s="23" t="s">
        <v>59</v>
      </c>
      <c r="E122" s="31" t="s">
        <v>171</v>
      </c>
      <c r="F122" s="31"/>
      <c r="G122" s="24">
        <f t="shared" si="47"/>
        <v>1000000</v>
      </c>
      <c r="H122" s="24">
        <f t="shared" si="47"/>
        <v>1000000</v>
      </c>
      <c r="I122" s="24">
        <f t="shared" si="47"/>
        <v>1000000</v>
      </c>
      <c r="J122" s="248"/>
      <c r="K122" s="330"/>
      <c r="L122" s="330"/>
      <c r="M122" s="330"/>
    </row>
    <row r="123" spans="1:13" s="29" customFormat="1" ht="30.75" x14ac:dyDescent="0.25">
      <c r="A123" s="22" t="s">
        <v>26</v>
      </c>
      <c r="B123" s="292">
        <v>701</v>
      </c>
      <c r="C123" s="23" t="s">
        <v>25</v>
      </c>
      <c r="D123" s="23" t="s">
        <v>59</v>
      </c>
      <c r="E123" s="31" t="s">
        <v>171</v>
      </c>
      <c r="F123" s="31">
        <v>200</v>
      </c>
      <c r="G123" s="24">
        <f>'Приложение 2'!F114</f>
        <v>1000000</v>
      </c>
      <c r="H123" s="24">
        <f>'Приложение 2'!G114</f>
        <v>1000000</v>
      </c>
      <c r="I123" s="24">
        <f>'Приложение 2'!H114</f>
        <v>1000000</v>
      </c>
      <c r="J123" s="248"/>
      <c r="K123" s="330"/>
      <c r="L123" s="330"/>
      <c r="M123" s="330"/>
    </row>
    <row r="124" spans="1:13" s="33" customFormat="1" x14ac:dyDescent="0.25">
      <c r="A124" s="18" t="s">
        <v>60</v>
      </c>
      <c r="B124" s="293" t="s">
        <v>218</v>
      </c>
      <c r="C124" s="19" t="s">
        <v>30</v>
      </c>
      <c r="D124" s="19"/>
      <c r="E124" s="19"/>
      <c r="F124" s="19"/>
      <c r="G124" s="20">
        <f>G125+G130+G154+G161+G169</f>
        <v>348341399.82999992</v>
      </c>
      <c r="H124" s="20">
        <f t="shared" ref="H124:I124" si="48">H125+H130+H154+H161+H169</f>
        <v>133955363.34999999</v>
      </c>
      <c r="I124" s="20">
        <f t="shared" si="48"/>
        <v>107955567.76999998</v>
      </c>
      <c r="J124" s="96"/>
      <c r="K124" s="333"/>
      <c r="L124" s="333"/>
      <c r="M124" s="333"/>
    </row>
    <row r="125" spans="1:13" s="33" customFormat="1" x14ac:dyDescent="0.25">
      <c r="A125" s="18" t="s">
        <v>61</v>
      </c>
      <c r="B125" s="292">
        <v>701</v>
      </c>
      <c r="C125" s="19" t="s">
        <v>30</v>
      </c>
      <c r="D125" s="19" t="s">
        <v>15</v>
      </c>
      <c r="E125" s="19"/>
      <c r="F125" s="19"/>
      <c r="G125" s="20">
        <f t="shared" ref="G125:I128" si="49">G126</f>
        <v>331283.65999999997</v>
      </c>
      <c r="H125" s="20">
        <f t="shared" si="49"/>
        <v>331283.65999999997</v>
      </c>
      <c r="I125" s="20">
        <f t="shared" si="49"/>
        <v>331283.65999999997</v>
      </c>
      <c r="J125" s="96"/>
      <c r="K125" s="333"/>
      <c r="L125" s="333"/>
      <c r="M125" s="333"/>
    </row>
    <row r="126" spans="1:13" s="33" customFormat="1" x14ac:dyDescent="0.25">
      <c r="A126" s="18" t="s">
        <v>18</v>
      </c>
      <c r="B126" s="293" t="s">
        <v>218</v>
      </c>
      <c r="C126" s="19" t="s">
        <v>30</v>
      </c>
      <c r="D126" s="19" t="s">
        <v>15</v>
      </c>
      <c r="E126" s="19">
        <v>9900000000</v>
      </c>
      <c r="F126" s="19"/>
      <c r="G126" s="20">
        <f t="shared" si="49"/>
        <v>331283.65999999997</v>
      </c>
      <c r="H126" s="20">
        <f t="shared" si="49"/>
        <v>331283.65999999997</v>
      </c>
      <c r="I126" s="20">
        <f t="shared" si="49"/>
        <v>331283.65999999997</v>
      </c>
      <c r="J126" s="96"/>
      <c r="K126" s="333"/>
      <c r="L126" s="333"/>
      <c r="M126" s="333"/>
    </row>
    <row r="127" spans="1:13" s="33" customFormat="1" ht="30.75" x14ac:dyDescent="0.25">
      <c r="A127" s="22" t="s">
        <v>20</v>
      </c>
      <c r="B127" s="292">
        <v>701</v>
      </c>
      <c r="C127" s="23" t="s">
        <v>30</v>
      </c>
      <c r="D127" s="23" t="s">
        <v>15</v>
      </c>
      <c r="E127" s="23" t="s">
        <v>21</v>
      </c>
      <c r="F127" s="23"/>
      <c r="G127" s="24">
        <f>G128</f>
        <v>331283.65999999997</v>
      </c>
      <c r="H127" s="24">
        <f t="shared" si="49"/>
        <v>331283.65999999997</v>
      </c>
      <c r="I127" s="24">
        <f t="shared" si="49"/>
        <v>331283.65999999997</v>
      </c>
      <c r="J127" s="96"/>
      <c r="K127" s="333"/>
      <c r="L127" s="333"/>
      <c r="M127" s="333"/>
    </row>
    <row r="128" spans="1:13" s="33" customFormat="1" ht="30.75" x14ac:dyDescent="0.25">
      <c r="A128" s="22" t="s">
        <v>159</v>
      </c>
      <c r="B128" s="293" t="s">
        <v>218</v>
      </c>
      <c r="C128" s="23" t="s">
        <v>30</v>
      </c>
      <c r="D128" s="23" t="s">
        <v>15</v>
      </c>
      <c r="E128" s="23" t="s">
        <v>160</v>
      </c>
      <c r="F128" s="23"/>
      <c r="G128" s="24">
        <f>G129</f>
        <v>331283.65999999997</v>
      </c>
      <c r="H128" s="24">
        <f t="shared" si="49"/>
        <v>331283.65999999997</v>
      </c>
      <c r="I128" s="24">
        <f t="shared" si="49"/>
        <v>331283.65999999997</v>
      </c>
      <c r="J128" s="96"/>
      <c r="K128" s="333"/>
      <c r="L128" s="333"/>
      <c r="M128" s="333"/>
    </row>
    <row r="129" spans="1:13" s="33" customFormat="1" ht="75.75" x14ac:dyDescent="0.25">
      <c r="A129" s="22" t="s">
        <v>22</v>
      </c>
      <c r="B129" s="292">
        <v>701</v>
      </c>
      <c r="C129" s="23" t="s">
        <v>30</v>
      </c>
      <c r="D129" s="23" t="s">
        <v>15</v>
      </c>
      <c r="E129" s="23" t="s">
        <v>160</v>
      </c>
      <c r="F129" s="23" t="s">
        <v>23</v>
      </c>
      <c r="G129" s="24">
        <f>'Приложение 2'!F122</f>
        <v>331283.65999999997</v>
      </c>
      <c r="H129" s="24">
        <f>'Приложение 2'!G122</f>
        <v>331283.65999999997</v>
      </c>
      <c r="I129" s="24">
        <f>'Приложение 2'!H122</f>
        <v>331283.65999999997</v>
      </c>
      <c r="J129" s="96"/>
      <c r="K129" s="333"/>
      <c r="L129" s="333"/>
      <c r="M129" s="333"/>
    </row>
    <row r="130" spans="1:13" s="33" customFormat="1" x14ac:dyDescent="0.25">
      <c r="A130" s="18" t="s">
        <v>62</v>
      </c>
      <c r="B130" s="292">
        <v>701</v>
      </c>
      <c r="C130" s="19" t="s">
        <v>30</v>
      </c>
      <c r="D130" s="19" t="s">
        <v>63</v>
      </c>
      <c r="E130" s="19"/>
      <c r="F130" s="19"/>
      <c r="G130" s="20">
        <f>G131+G147</f>
        <v>116789941.36999999</v>
      </c>
      <c r="H130" s="20">
        <f t="shared" ref="H130:I130" si="50">H131+H147</f>
        <v>73547621.189999998</v>
      </c>
      <c r="I130" s="20">
        <f t="shared" si="50"/>
        <v>47068125.989999995</v>
      </c>
      <c r="J130" s="96"/>
      <c r="K130" s="333"/>
      <c r="L130" s="333"/>
      <c r="M130" s="333"/>
    </row>
    <row r="131" spans="1:13" s="33" customFormat="1" ht="63" x14ac:dyDescent="0.25">
      <c r="A131" s="18" t="s">
        <v>64</v>
      </c>
      <c r="B131" s="293" t="s">
        <v>218</v>
      </c>
      <c r="C131" s="19" t="s">
        <v>30</v>
      </c>
      <c r="D131" s="19" t="s">
        <v>63</v>
      </c>
      <c r="E131" s="19" t="s">
        <v>65</v>
      </c>
      <c r="F131" s="19"/>
      <c r="G131" s="20">
        <f>G132+G143</f>
        <v>112921527.17999999</v>
      </c>
      <c r="H131" s="20">
        <f t="shared" ref="H131:I131" si="51">H132+H143</f>
        <v>69679207</v>
      </c>
      <c r="I131" s="20">
        <f t="shared" si="51"/>
        <v>43199711.799999997</v>
      </c>
      <c r="J131" s="96"/>
      <c r="K131" s="333"/>
      <c r="L131" s="333"/>
      <c r="M131" s="333"/>
    </row>
    <row r="132" spans="1:13" s="29" customFormat="1" ht="30.75" x14ac:dyDescent="0.25">
      <c r="A132" s="22" t="s">
        <v>200</v>
      </c>
      <c r="B132" s="292">
        <v>701</v>
      </c>
      <c r="C132" s="23" t="s">
        <v>30</v>
      </c>
      <c r="D132" s="23" t="s">
        <v>63</v>
      </c>
      <c r="E132" s="23" t="s">
        <v>66</v>
      </c>
      <c r="F132" s="23"/>
      <c r="G132" s="24">
        <f>G133+G135+G137+G139+G141</f>
        <v>109723450.84999999</v>
      </c>
      <c r="H132" s="24">
        <f t="shared" ref="H132:I132" si="52">H133+H135+H137+H139+H141</f>
        <v>66757500</v>
      </c>
      <c r="I132" s="24">
        <f t="shared" si="52"/>
        <v>40057500</v>
      </c>
      <c r="J132" s="248"/>
      <c r="K132" s="330"/>
      <c r="L132" s="330"/>
      <c r="M132" s="330"/>
    </row>
    <row r="133" spans="1:13" s="29" customFormat="1" x14ac:dyDescent="0.25">
      <c r="A133" s="22" t="s">
        <v>553</v>
      </c>
      <c r="B133" s="293" t="s">
        <v>218</v>
      </c>
      <c r="C133" s="23" t="s">
        <v>30</v>
      </c>
      <c r="D133" s="23" t="s">
        <v>63</v>
      </c>
      <c r="E133" s="23" t="s">
        <v>552</v>
      </c>
      <c r="F133" s="23"/>
      <c r="G133" s="260">
        <f>G134</f>
        <v>16990950.850000001</v>
      </c>
      <c r="H133" s="260">
        <f>H134</f>
        <v>8607500</v>
      </c>
      <c r="I133" s="260">
        <f>I134</f>
        <v>8607500</v>
      </c>
      <c r="J133" s="248"/>
      <c r="K133" s="330"/>
      <c r="L133" s="330"/>
      <c r="M133" s="330"/>
    </row>
    <row r="134" spans="1:13" s="29" customFormat="1" x14ac:dyDescent="0.25">
      <c r="A134" s="22" t="s">
        <v>28</v>
      </c>
      <c r="B134" s="292">
        <v>701</v>
      </c>
      <c r="C134" s="23" t="s">
        <v>30</v>
      </c>
      <c r="D134" s="23" t="s">
        <v>63</v>
      </c>
      <c r="E134" s="23" t="s">
        <v>552</v>
      </c>
      <c r="F134" s="23" t="s">
        <v>29</v>
      </c>
      <c r="G134" s="260">
        <f>10036450.85+6954500</f>
        <v>16990950.850000001</v>
      </c>
      <c r="H134" s="260">
        <v>8607500</v>
      </c>
      <c r="I134" s="260">
        <v>8607500</v>
      </c>
      <c r="J134" s="248"/>
      <c r="K134" s="330"/>
      <c r="L134" s="330"/>
      <c r="M134" s="330"/>
    </row>
    <row r="135" spans="1:13" s="29" customFormat="1" x14ac:dyDescent="0.25">
      <c r="A135" s="22" t="s">
        <v>554</v>
      </c>
      <c r="B135" s="293" t="s">
        <v>218</v>
      </c>
      <c r="C135" s="23" t="s">
        <v>30</v>
      </c>
      <c r="D135" s="23" t="s">
        <v>63</v>
      </c>
      <c r="E135" s="23">
        <v>6730010020</v>
      </c>
      <c r="F135" s="23"/>
      <c r="G135" s="260">
        <f>G136</f>
        <v>8760000</v>
      </c>
      <c r="H135" s="260">
        <f>H136</f>
        <v>0</v>
      </c>
      <c r="I135" s="260">
        <f>I136</f>
        <v>3300000</v>
      </c>
      <c r="J135" s="248"/>
      <c r="K135" s="330"/>
      <c r="L135" s="330"/>
      <c r="M135" s="330"/>
    </row>
    <row r="136" spans="1:13" s="29" customFormat="1" x14ac:dyDescent="0.25">
      <c r="A136" s="22" t="s">
        <v>28</v>
      </c>
      <c r="B136" s="292">
        <v>701</v>
      </c>
      <c r="C136" s="23" t="s">
        <v>30</v>
      </c>
      <c r="D136" s="23" t="s">
        <v>63</v>
      </c>
      <c r="E136" s="23">
        <v>6730010020</v>
      </c>
      <c r="F136" s="23" t="s">
        <v>29</v>
      </c>
      <c r="G136" s="260">
        <v>8760000</v>
      </c>
      <c r="H136" s="260">
        <v>0</v>
      </c>
      <c r="I136" s="260">
        <v>3300000</v>
      </c>
      <c r="J136" s="248"/>
      <c r="K136" s="330"/>
      <c r="L136" s="330"/>
      <c r="M136" s="330"/>
    </row>
    <row r="137" spans="1:13" s="29" customFormat="1" x14ac:dyDescent="0.25">
      <c r="A137" s="22" t="s">
        <v>555</v>
      </c>
      <c r="B137" s="293" t="s">
        <v>218</v>
      </c>
      <c r="C137" s="23" t="s">
        <v>30</v>
      </c>
      <c r="D137" s="23" t="s">
        <v>63</v>
      </c>
      <c r="E137" s="23" t="s">
        <v>647</v>
      </c>
      <c r="F137" s="23"/>
      <c r="G137" s="260">
        <f>G138</f>
        <v>69562500</v>
      </c>
      <c r="H137" s="260">
        <f>H138</f>
        <v>48150000</v>
      </c>
      <c r="I137" s="260">
        <f>I138</f>
        <v>18150000</v>
      </c>
      <c r="J137" s="248"/>
      <c r="K137" s="330"/>
      <c r="L137" s="330"/>
      <c r="M137" s="330"/>
    </row>
    <row r="138" spans="1:13" s="29" customFormat="1" x14ac:dyDescent="0.25">
      <c r="A138" s="32" t="s">
        <v>28</v>
      </c>
      <c r="B138" s="292">
        <v>701</v>
      </c>
      <c r="C138" s="23" t="s">
        <v>30</v>
      </c>
      <c r="D138" s="23" t="s">
        <v>63</v>
      </c>
      <c r="E138" s="23" t="s">
        <v>647</v>
      </c>
      <c r="F138" s="23" t="s">
        <v>29</v>
      </c>
      <c r="G138" s="260">
        <v>69562500</v>
      </c>
      <c r="H138" s="260">
        <v>48150000</v>
      </c>
      <c r="I138" s="260">
        <v>18150000</v>
      </c>
      <c r="J138" s="248"/>
      <c r="K138" s="330"/>
      <c r="L138" s="330"/>
      <c r="M138" s="330"/>
    </row>
    <row r="139" spans="1:13" s="29" customFormat="1" ht="36.75" customHeight="1" x14ac:dyDescent="0.25">
      <c r="A139" s="32" t="s">
        <v>556</v>
      </c>
      <c r="B139" s="293" t="s">
        <v>218</v>
      </c>
      <c r="C139" s="23" t="s">
        <v>30</v>
      </c>
      <c r="D139" s="23" t="s">
        <v>63</v>
      </c>
      <c r="E139" s="23">
        <v>6730010140</v>
      </c>
      <c r="F139" s="23"/>
      <c r="G139" s="260">
        <f>G140</f>
        <v>4410000</v>
      </c>
      <c r="H139" s="260">
        <f>H140</f>
        <v>0</v>
      </c>
      <c r="I139" s="260">
        <f>I140</f>
        <v>0</v>
      </c>
      <c r="J139" s="248"/>
      <c r="K139" s="330"/>
      <c r="L139" s="330"/>
      <c r="M139" s="330"/>
    </row>
    <row r="140" spans="1:13" s="29" customFormat="1" x14ac:dyDescent="0.25">
      <c r="A140" s="32" t="s">
        <v>28</v>
      </c>
      <c r="B140" s="292">
        <v>701</v>
      </c>
      <c r="C140" s="23" t="s">
        <v>30</v>
      </c>
      <c r="D140" s="23" t="s">
        <v>63</v>
      </c>
      <c r="E140" s="23">
        <v>6730010140</v>
      </c>
      <c r="F140" s="23" t="s">
        <v>29</v>
      </c>
      <c r="G140" s="260">
        <v>4410000</v>
      </c>
      <c r="H140" s="260">
        <v>0</v>
      </c>
      <c r="I140" s="260">
        <v>0</v>
      </c>
      <c r="J140" s="248"/>
      <c r="K140" s="330"/>
      <c r="L140" s="330"/>
      <c r="M140" s="330"/>
    </row>
    <row r="141" spans="1:13" s="29" customFormat="1" ht="45.75" x14ac:dyDescent="0.25">
      <c r="A141" s="32" t="s">
        <v>558</v>
      </c>
      <c r="B141" s="293" t="s">
        <v>218</v>
      </c>
      <c r="C141" s="23" t="s">
        <v>30</v>
      </c>
      <c r="D141" s="23" t="s">
        <v>63</v>
      </c>
      <c r="E141" s="23" t="s">
        <v>557</v>
      </c>
      <c r="F141" s="23"/>
      <c r="G141" s="260">
        <f>G142</f>
        <v>10000000</v>
      </c>
      <c r="H141" s="260">
        <f>H142</f>
        <v>10000000</v>
      </c>
      <c r="I141" s="260">
        <f>I142</f>
        <v>10000000</v>
      </c>
      <c r="J141" s="248"/>
      <c r="K141" s="330"/>
      <c r="L141" s="330"/>
      <c r="M141" s="330"/>
    </row>
    <row r="142" spans="1:13" s="29" customFormat="1" x14ac:dyDescent="0.25">
      <c r="A142" s="32" t="s">
        <v>28</v>
      </c>
      <c r="B142" s="292">
        <v>701</v>
      </c>
      <c r="C142" s="23" t="s">
        <v>30</v>
      </c>
      <c r="D142" s="23" t="s">
        <v>63</v>
      </c>
      <c r="E142" s="23" t="s">
        <v>557</v>
      </c>
      <c r="F142" s="23" t="s">
        <v>29</v>
      </c>
      <c r="G142" s="260">
        <v>10000000</v>
      </c>
      <c r="H142" s="260">
        <v>10000000</v>
      </c>
      <c r="I142" s="260">
        <v>10000000</v>
      </c>
      <c r="J142" s="248"/>
      <c r="K142" s="330"/>
      <c r="L142" s="330"/>
      <c r="M142" s="330"/>
    </row>
    <row r="143" spans="1:13" s="33" customFormat="1" x14ac:dyDescent="0.25">
      <c r="A143" s="22" t="s">
        <v>50</v>
      </c>
      <c r="B143" s="293" t="s">
        <v>218</v>
      </c>
      <c r="C143" s="23" t="s">
        <v>30</v>
      </c>
      <c r="D143" s="23" t="s">
        <v>63</v>
      </c>
      <c r="E143" s="23" t="s">
        <v>67</v>
      </c>
      <c r="F143" s="23"/>
      <c r="G143" s="260">
        <f>G144</f>
        <v>3198076.33</v>
      </c>
      <c r="H143" s="260">
        <f>H144</f>
        <v>2921707</v>
      </c>
      <c r="I143" s="260">
        <f>I144</f>
        <v>3142211.8</v>
      </c>
      <c r="J143" s="96"/>
      <c r="K143" s="333"/>
      <c r="L143" s="333"/>
      <c r="M143" s="333"/>
    </row>
    <row r="144" spans="1:13" s="33" customFormat="1" ht="30.75" x14ac:dyDescent="0.25">
      <c r="A144" s="22" t="s">
        <v>221</v>
      </c>
      <c r="B144" s="292">
        <v>701</v>
      </c>
      <c r="C144" s="23" t="s">
        <v>30</v>
      </c>
      <c r="D144" s="23" t="s">
        <v>63</v>
      </c>
      <c r="E144" s="23">
        <v>6740011600</v>
      </c>
      <c r="F144" s="23"/>
      <c r="G144" s="260">
        <f>SUM(G145:G146)</f>
        <v>3198076.33</v>
      </c>
      <c r="H144" s="260">
        <f>SUM(H145:H146)</f>
        <v>2921707</v>
      </c>
      <c r="I144" s="260">
        <f>SUM(I145:I146)</f>
        <v>3142211.8</v>
      </c>
      <c r="J144" s="96"/>
      <c r="K144" s="333"/>
      <c r="L144" s="333"/>
      <c r="M144" s="333"/>
    </row>
    <row r="145" spans="1:13" s="33" customFormat="1" ht="75.75" x14ac:dyDescent="0.25">
      <c r="A145" s="22" t="s">
        <v>22</v>
      </c>
      <c r="B145" s="293" t="s">
        <v>218</v>
      </c>
      <c r="C145" s="23" t="s">
        <v>30</v>
      </c>
      <c r="D145" s="23" t="s">
        <v>63</v>
      </c>
      <c r="E145" s="23">
        <v>6740011600</v>
      </c>
      <c r="F145" s="23" t="s">
        <v>23</v>
      </c>
      <c r="G145" s="261">
        <v>1647062.35</v>
      </c>
      <c r="H145" s="261">
        <v>1527480.66</v>
      </c>
      <c r="I145" s="261">
        <v>1684548.94</v>
      </c>
      <c r="J145" s="96"/>
      <c r="K145" s="333"/>
      <c r="L145" s="333"/>
      <c r="M145" s="333"/>
    </row>
    <row r="146" spans="1:13" s="33" customFormat="1" ht="30.75" x14ac:dyDescent="0.25">
      <c r="A146" s="32" t="s">
        <v>26</v>
      </c>
      <c r="B146" s="292">
        <v>701</v>
      </c>
      <c r="C146" s="23" t="s">
        <v>30</v>
      </c>
      <c r="D146" s="23" t="s">
        <v>63</v>
      </c>
      <c r="E146" s="23">
        <v>6740011600</v>
      </c>
      <c r="F146" s="228">
        <v>200</v>
      </c>
      <c r="G146" s="261">
        <v>1551013.98</v>
      </c>
      <c r="H146" s="261">
        <v>1394226.34</v>
      </c>
      <c r="I146" s="261">
        <v>1457662.86</v>
      </c>
      <c r="J146" s="249"/>
      <c r="K146" s="333"/>
      <c r="L146" s="333"/>
      <c r="M146" s="333"/>
    </row>
    <row r="147" spans="1:13" s="33" customFormat="1" x14ac:dyDescent="0.25">
      <c r="A147" s="34" t="s">
        <v>18</v>
      </c>
      <c r="B147" s="292">
        <v>701</v>
      </c>
      <c r="C147" s="19" t="s">
        <v>30</v>
      </c>
      <c r="D147" s="19" t="s">
        <v>63</v>
      </c>
      <c r="E147" s="19">
        <v>9900000000</v>
      </c>
      <c r="F147" s="31"/>
      <c r="G147" s="68">
        <f>G148+G151</f>
        <v>3868414.19</v>
      </c>
      <c r="H147" s="68">
        <f t="shared" ref="H147:I147" si="53">H148+H151</f>
        <v>3868414.19</v>
      </c>
      <c r="I147" s="68">
        <f t="shared" si="53"/>
        <v>3868414.19</v>
      </c>
      <c r="J147" s="96"/>
      <c r="K147" s="333"/>
      <c r="L147" s="333"/>
      <c r="M147" s="333"/>
    </row>
    <row r="148" spans="1:13" s="33" customFormat="1" ht="30.75" x14ac:dyDescent="0.25">
      <c r="A148" s="22" t="s">
        <v>20</v>
      </c>
      <c r="B148" s="293" t="s">
        <v>218</v>
      </c>
      <c r="C148" s="23" t="s">
        <v>30</v>
      </c>
      <c r="D148" s="23" t="s">
        <v>63</v>
      </c>
      <c r="E148" s="23">
        <v>9910000000</v>
      </c>
      <c r="F148" s="31"/>
      <c r="G148" s="24">
        <f t="shared" ref="G148:I149" si="54">G149</f>
        <v>3408414.19</v>
      </c>
      <c r="H148" s="24">
        <f t="shared" si="54"/>
        <v>3408414.19</v>
      </c>
      <c r="I148" s="24">
        <f t="shared" si="54"/>
        <v>3408414.19</v>
      </c>
      <c r="J148" s="96"/>
      <c r="K148" s="333"/>
      <c r="L148" s="333"/>
      <c r="M148" s="333"/>
    </row>
    <row r="149" spans="1:13" s="33" customFormat="1" ht="30.75" x14ac:dyDescent="0.25">
      <c r="A149" s="22" t="s">
        <v>165</v>
      </c>
      <c r="B149" s="292">
        <v>701</v>
      </c>
      <c r="C149" s="23" t="s">
        <v>30</v>
      </c>
      <c r="D149" s="23" t="s">
        <v>63</v>
      </c>
      <c r="E149" s="23" t="s">
        <v>174</v>
      </c>
      <c r="F149" s="31"/>
      <c r="G149" s="24">
        <f t="shared" si="54"/>
        <v>3408414.19</v>
      </c>
      <c r="H149" s="24">
        <f t="shared" si="54"/>
        <v>3408414.19</v>
      </c>
      <c r="I149" s="24">
        <f t="shared" si="54"/>
        <v>3408414.19</v>
      </c>
      <c r="J149" s="96"/>
      <c r="K149" s="333"/>
      <c r="L149" s="333"/>
      <c r="M149" s="333"/>
    </row>
    <row r="150" spans="1:13" s="33" customFormat="1" ht="75.75" x14ac:dyDescent="0.25">
      <c r="A150" s="32" t="s">
        <v>22</v>
      </c>
      <c r="B150" s="293" t="s">
        <v>218</v>
      </c>
      <c r="C150" s="23" t="s">
        <v>30</v>
      </c>
      <c r="D150" s="23" t="s">
        <v>63</v>
      </c>
      <c r="E150" s="23" t="s">
        <v>174</v>
      </c>
      <c r="F150" s="31" t="s">
        <v>23</v>
      </c>
      <c r="G150" s="24">
        <f>'Приложение 2'!F127</f>
        <v>3408414.19</v>
      </c>
      <c r="H150" s="24">
        <f>'Приложение 2'!G127</f>
        <v>3408414.19</v>
      </c>
      <c r="I150" s="24">
        <f>'Приложение 2'!H127</f>
        <v>3408414.19</v>
      </c>
      <c r="J150" s="96"/>
      <c r="K150" s="333"/>
      <c r="L150" s="333"/>
      <c r="M150" s="333"/>
    </row>
    <row r="151" spans="1:13" s="33" customFormat="1" x14ac:dyDescent="0.25">
      <c r="A151" s="32" t="s">
        <v>56</v>
      </c>
      <c r="B151" s="292">
        <v>701</v>
      </c>
      <c r="C151" s="23" t="s">
        <v>30</v>
      </c>
      <c r="D151" s="23" t="s">
        <v>63</v>
      </c>
      <c r="E151" s="23" t="s">
        <v>38</v>
      </c>
      <c r="F151" s="31"/>
      <c r="G151" s="24">
        <f t="shared" ref="G151:I152" si="55">G152</f>
        <v>460000</v>
      </c>
      <c r="H151" s="24">
        <f t="shared" si="55"/>
        <v>460000</v>
      </c>
      <c r="I151" s="24">
        <f t="shared" si="55"/>
        <v>460000</v>
      </c>
      <c r="J151" s="96"/>
      <c r="K151" s="333"/>
      <c r="L151" s="333"/>
      <c r="M151" s="333"/>
    </row>
    <row r="152" spans="1:13" s="33" customFormat="1" ht="30.75" x14ac:dyDescent="0.25">
      <c r="A152" s="32" t="s">
        <v>166</v>
      </c>
      <c r="B152" s="293" t="s">
        <v>218</v>
      </c>
      <c r="C152" s="23" t="s">
        <v>30</v>
      </c>
      <c r="D152" s="23" t="s">
        <v>63</v>
      </c>
      <c r="E152" s="23" t="s">
        <v>167</v>
      </c>
      <c r="F152" s="31"/>
      <c r="G152" s="24">
        <f t="shared" si="55"/>
        <v>460000</v>
      </c>
      <c r="H152" s="24">
        <f t="shared" si="55"/>
        <v>460000</v>
      </c>
      <c r="I152" s="24">
        <f t="shared" si="55"/>
        <v>460000</v>
      </c>
      <c r="J152" s="96"/>
      <c r="K152" s="333"/>
      <c r="L152" s="333"/>
      <c r="M152" s="333"/>
    </row>
    <row r="153" spans="1:13" s="33" customFormat="1" x14ac:dyDescent="0.25">
      <c r="A153" s="32" t="s">
        <v>52</v>
      </c>
      <c r="B153" s="292">
        <v>701</v>
      </c>
      <c r="C153" s="23" t="s">
        <v>30</v>
      </c>
      <c r="D153" s="23" t="s">
        <v>63</v>
      </c>
      <c r="E153" s="23" t="s">
        <v>167</v>
      </c>
      <c r="F153" s="31">
        <v>300</v>
      </c>
      <c r="G153" s="24">
        <f>'Приложение 2'!F130</f>
        <v>460000</v>
      </c>
      <c r="H153" s="24">
        <f>'Приложение 2'!G130</f>
        <v>460000</v>
      </c>
      <c r="I153" s="24">
        <f>'Приложение 2'!H130</f>
        <v>460000</v>
      </c>
      <c r="J153" s="96"/>
      <c r="K153" s="333"/>
      <c r="L153" s="333"/>
      <c r="M153" s="333"/>
    </row>
    <row r="154" spans="1:13" s="33" customFormat="1" x14ac:dyDescent="0.25">
      <c r="A154" s="34" t="s">
        <v>68</v>
      </c>
      <c r="B154" s="293" t="s">
        <v>218</v>
      </c>
      <c r="C154" s="19" t="s">
        <v>30</v>
      </c>
      <c r="D154" s="19" t="s">
        <v>69</v>
      </c>
      <c r="E154" s="30"/>
      <c r="F154" s="30"/>
      <c r="G154" s="259">
        <f>G155</f>
        <v>19720000</v>
      </c>
      <c r="H154" s="259">
        <f>H155</f>
        <v>17150000</v>
      </c>
      <c r="I154" s="259">
        <f>I155</f>
        <v>17150000</v>
      </c>
      <c r="J154" s="96"/>
      <c r="K154" s="333"/>
      <c r="L154" s="333"/>
      <c r="M154" s="333"/>
    </row>
    <row r="155" spans="1:13" s="33" customFormat="1" ht="31.5" x14ac:dyDescent="0.25">
      <c r="A155" s="34" t="s">
        <v>70</v>
      </c>
      <c r="B155" s="292">
        <v>701</v>
      </c>
      <c r="C155" s="19" t="s">
        <v>30</v>
      </c>
      <c r="D155" s="19" t="s">
        <v>69</v>
      </c>
      <c r="E155" s="35" t="s">
        <v>71</v>
      </c>
      <c r="F155" s="30"/>
      <c r="G155" s="259">
        <f t="shared" ref="G155:I157" si="56">G156</f>
        <v>19720000</v>
      </c>
      <c r="H155" s="259">
        <f t="shared" si="56"/>
        <v>17150000</v>
      </c>
      <c r="I155" s="259">
        <f t="shared" si="56"/>
        <v>17150000</v>
      </c>
      <c r="J155" s="96"/>
      <c r="K155" s="333"/>
      <c r="L155" s="333"/>
      <c r="M155" s="333"/>
    </row>
    <row r="156" spans="1:13" s="33" customFormat="1" ht="30" x14ac:dyDescent="0.25">
      <c r="A156" s="232" t="s">
        <v>198</v>
      </c>
      <c r="B156" s="293" t="s">
        <v>218</v>
      </c>
      <c r="C156" s="23" t="s">
        <v>30</v>
      </c>
      <c r="D156" s="23" t="s">
        <v>69</v>
      </c>
      <c r="E156" s="36" t="s">
        <v>72</v>
      </c>
      <c r="F156" s="31"/>
      <c r="G156" s="260">
        <f>G157+G159</f>
        <v>19720000</v>
      </c>
      <c r="H156" s="260">
        <f t="shared" ref="H156:I156" si="57">H157+H159</f>
        <v>17150000</v>
      </c>
      <c r="I156" s="260">
        <f t="shared" si="57"/>
        <v>17150000</v>
      </c>
      <c r="J156" s="96"/>
      <c r="K156" s="333"/>
      <c r="L156" s="333"/>
      <c r="M156" s="333"/>
    </row>
    <row r="157" spans="1:13" s="33" customFormat="1" ht="30" x14ac:dyDescent="0.25">
      <c r="A157" s="232" t="s">
        <v>559</v>
      </c>
      <c r="B157" s="292">
        <v>701</v>
      </c>
      <c r="C157" s="23" t="s">
        <v>30</v>
      </c>
      <c r="D157" s="23" t="s">
        <v>69</v>
      </c>
      <c r="E157" s="36" t="s">
        <v>560</v>
      </c>
      <c r="F157" s="31"/>
      <c r="G157" s="260">
        <f>G158</f>
        <v>17720000</v>
      </c>
      <c r="H157" s="260">
        <f t="shared" si="56"/>
        <v>17150000</v>
      </c>
      <c r="I157" s="260">
        <f t="shared" si="56"/>
        <v>17150000</v>
      </c>
      <c r="J157" s="96"/>
      <c r="K157" s="333"/>
      <c r="L157" s="333"/>
      <c r="M157" s="333"/>
    </row>
    <row r="158" spans="1:13" s="33" customFormat="1" x14ac:dyDescent="0.25">
      <c r="A158" s="232" t="s">
        <v>28</v>
      </c>
      <c r="B158" s="293" t="s">
        <v>218</v>
      </c>
      <c r="C158" s="23" t="s">
        <v>30</v>
      </c>
      <c r="D158" s="23" t="s">
        <v>69</v>
      </c>
      <c r="E158" s="36" t="s">
        <v>560</v>
      </c>
      <c r="F158" s="31">
        <v>800</v>
      </c>
      <c r="G158" s="260">
        <v>17720000</v>
      </c>
      <c r="H158" s="260">
        <v>17150000</v>
      </c>
      <c r="I158" s="260">
        <v>17150000</v>
      </c>
      <c r="J158" s="96"/>
      <c r="K158" s="333"/>
      <c r="L158" s="333"/>
      <c r="M158" s="333"/>
    </row>
    <row r="159" spans="1:13" s="33" customFormat="1" ht="30" x14ac:dyDescent="0.25">
      <c r="A159" s="232" t="s">
        <v>561</v>
      </c>
      <c r="B159" s="292">
        <v>701</v>
      </c>
      <c r="C159" s="23" t="s">
        <v>30</v>
      </c>
      <c r="D159" s="23" t="s">
        <v>69</v>
      </c>
      <c r="E159" s="36" t="s">
        <v>562</v>
      </c>
      <c r="F159" s="31"/>
      <c r="G159" s="260">
        <f>G160</f>
        <v>2000000</v>
      </c>
      <c r="H159" s="260">
        <f t="shared" ref="H159:I159" si="58">H160</f>
        <v>0</v>
      </c>
      <c r="I159" s="260">
        <f t="shared" si="58"/>
        <v>0</v>
      </c>
      <c r="J159" s="96"/>
      <c r="K159" s="333"/>
      <c r="L159" s="333"/>
      <c r="M159" s="333"/>
    </row>
    <row r="160" spans="1:13" s="33" customFormat="1" x14ac:dyDescent="0.25">
      <c r="A160" s="22" t="s">
        <v>28</v>
      </c>
      <c r="B160" s="293" t="s">
        <v>218</v>
      </c>
      <c r="C160" s="23" t="s">
        <v>30</v>
      </c>
      <c r="D160" s="23" t="s">
        <v>69</v>
      </c>
      <c r="E160" s="36" t="s">
        <v>562</v>
      </c>
      <c r="F160" s="31">
        <v>800</v>
      </c>
      <c r="G160" s="260">
        <v>2000000</v>
      </c>
      <c r="H160" s="260">
        <v>0</v>
      </c>
      <c r="I160" s="260">
        <v>0</v>
      </c>
      <c r="J160" s="96"/>
      <c r="K160" s="333"/>
      <c r="L160" s="333"/>
      <c r="M160" s="333"/>
    </row>
    <row r="161" spans="1:13" s="33" customFormat="1" x14ac:dyDescent="0.25">
      <c r="A161" s="34" t="s">
        <v>73</v>
      </c>
      <c r="B161" s="292">
        <v>701</v>
      </c>
      <c r="C161" s="19" t="s">
        <v>30</v>
      </c>
      <c r="D161" s="19" t="s">
        <v>74</v>
      </c>
      <c r="E161" s="30"/>
      <c r="F161" s="30"/>
      <c r="G161" s="20">
        <f t="shared" ref="G161:I161" si="59">G162</f>
        <v>166741120.79999998</v>
      </c>
      <c r="H161" s="20">
        <f t="shared" si="59"/>
        <v>15455434.5</v>
      </c>
      <c r="I161" s="20">
        <f t="shared" si="59"/>
        <v>15455434.5</v>
      </c>
      <c r="J161" s="96"/>
      <c r="K161" s="333"/>
      <c r="L161" s="333"/>
      <c r="M161" s="333"/>
    </row>
    <row r="162" spans="1:13" s="33" customFormat="1" ht="31.5" x14ac:dyDescent="0.25">
      <c r="A162" s="34" t="s">
        <v>70</v>
      </c>
      <c r="B162" s="293" t="s">
        <v>218</v>
      </c>
      <c r="C162" s="19" t="s">
        <v>30</v>
      </c>
      <c r="D162" s="19" t="s">
        <v>74</v>
      </c>
      <c r="E162" s="35" t="s">
        <v>71</v>
      </c>
      <c r="F162" s="30"/>
      <c r="G162" s="20">
        <f>G163+G166</f>
        <v>166741120.79999998</v>
      </c>
      <c r="H162" s="20">
        <f t="shared" ref="H162:I162" si="60">H163+H166</f>
        <v>15455434.5</v>
      </c>
      <c r="I162" s="20">
        <f t="shared" si="60"/>
        <v>15455434.5</v>
      </c>
      <c r="J162" s="96"/>
      <c r="K162" s="333"/>
      <c r="L162" s="333"/>
      <c r="M162" s="333"/>
    </row>
    <row r="163" spans="1:13" s="29" customFormat="1" x14ac:dyDescent="0.25">
      <c r="A163" s="232" t="s">
        <v>197</v>
      </c>
      <c r="B163" s="292">
        <v>701</v>
      </c>
      <c r="C163" s="23" t="s">
        <v>30</v>
      </c>
      <c r="D163" s="23" t="s">
        <v>74</v>
      </c>
      <c r="E163" s="36" t="s">
        <v>72</v>
      </c>
      <c r="F163" s="31"/>
      <c r="G163" s="260">
        <f>G164</f>
        <v>160454609.84999999</v>
      </c>
      <c r="H163" s="260">
        <f t="shared" ref="H163:I164" si="61">H164</f>
        <v>15455434.5</v>
      </c>
      <c r="I163" s="260">
        <f t="shared" si="61"/>
        <v>15455434.5</v>
      </c>
      <c r="J163" s="248"/>
      <c r="K163" s="330"/>
      <c r="L163" s="330"/>
      <c r="M163" s="330"/>
    </row>
    <row r="164" spans="1:13" s="29" customFormat="1" ht="45" x14ac:dyDescent="0.25">
      <c r="A164" s="232" t="s">
        <v>565</v>
      </c>
      <c r="B164" s="292">
        <v>701</v>
      </c>
      <c r="C164" s="23" t="s">
        <v>30</v>
      </c>
      <c r="D164" s="23" t="s">
        <v>74</v>
      </c>
      <c r="E164" s="36" t="s">
        <v>566</v>
      </c>
      <c r="F164" s="31"/>
      <c r="G164" s="260">
        <f>G165</f>
        <v>160454609.84999999</v>
      </c>
      <c r="H164" s="260">
        <f t="shared" si="61"/>
        <v>15455434.5</v>
      </c>
      <c r="I164" s="260">
        <f t="shared" si="61"/>
        <v>15455434.5</v>
      </c>
      <c r="J164" s="248"/>
      <c r="K164" s="330"/>
      <c r="L164" s="330"/>
      <c r="M164" s="330"/>
    </row>
    <row r="165" spans="1:13" s="33" customFormat="1" ht="30.75" x14ac:dyDescent="0.25">
      <c r="A165" s="22" t="s">
        <v>26</v>
      </c>
      <c r="B165" s="293" t="s">
        <v>218</v>
      </c>
      <c r="C165" s="23" t="s">
        <v>30</v>
      </c>
      <c r="D165" s="23" t="s">
        <v>74</v>
      </c>
      <c r="E165" s="36" t="s">
        <v>566</v>
      </c>
      <c r="F165" s="31">
        <v>200</v>
      </c>
      <c r="G165" s="260">
        <f>160172044.85+282565</f>
        <v>160454609.84999999</v>
      </c>
      <c r="H165" s="260">
        <v>15455434.5</v>
      </c>
      <c r="I165" s="260">
        <v>15455434.5</v>
      </c>
      <c r="J165" s="96"/>
      <c r="K165" s="333"/>
      <c r="L165" s="333"/>
      <c r="M165" s="333"/>
    </row>
    <row r="166" spans="1:13" s="33" customFormat="1" x14ac:dyDescent="0.25">
      <c r="A166" s="233" t="s">
        <v>50</v>
      </c>
      <c r="B166" s="292">
        <v>701</v>
      </c>
      <c r="C166" s="23" t="s">
        <v>30</v>
      </c>
      <c r="D166" s="23" t="s">
        <v>74</v>
      </c>
      <c r="E166" s="36" t="s">
        <v>199</v>
      </c>
      <c r="F166" s="31"/>
      <c r="G166" s="260">
        <f>G167</f>
        <v>6286510.9500000002</v>
      </c>
      <c r="H166" s="260">
        <f t="shared" ref="H166:I166" si="62">H167</f>
        <v>0</v>
      </c>
      <c r="I166" s="260">
        <f t="shared" si="62"/>
        <v>0</v>
      </c>
      <c r="J166" s="96"/>
      <c r="K166" s="333"/>
      <c r="L166" s="333"/>
      <c r="M166" s="333"/>
    </row>
    <row r="167" spans="1:13" s="33" customFormat="1" ht="60" x14ac:dyDescent="0.25">
      <c r="A167" s="233" t="s">
        <v>563</v>
      </c>
      <c r="B167" s="293" t="s">
        <v>218</v>
      </c>
      <c r="C167" s="23" t="s">
        <v>30</v>
      </c>
      <c r="D167" s="23" t="s">
        <v>74</v>
      </c>
      <c r="E167" s="36" t="s">
        <v>564</v>
      </c>
      <c r="F167" s="31"/>
      <c r="G167" s="260">
        <f>G168</f>
        <v>6286510.9500000002</v>
      </c>
      <c r="H167" s="260">
        <f t="shared" ref="H167:I167" si="63">H168</f>
        <v>0</v>
      </c>
      <c r="I167" s="260">
        <f t="shared" si="63"/>
        <v>0</v>
      </c>
      <c r="J167" s="96"/>
      <c r="K167" s="333"/>
      <c r="L167" s="333"/>
      <c r="M167" s="333"/>
    </row>
    <row r="168" spans="1:13" s="33" customFormat="1" ht="30.75" x14ac:dyDescent="0.25">
      <c r="A168" s="22" t="s">
        <v>26</v>
      </c>
      <c r="B168" s="292">
        <v>701</v>
      </c>
      <c r="C168" s="23" t="s">
        <v>30</v>
      </c>
      <c r="D168" s="23" t="s">
        <v>74</v>
      </c>
      <c r="E168" s="36" t="s">
        <v>564</v>
      </c>
      <c r="F168" s="31">
        <v>200</v>
      </c>
      <c r="G168" s="260">
        <v>6286510.9500000002</v>
      </c>
      <c r="H168" s="260">
        <v>0</v>
      </c>
      <c r="I168" s="260">
        <v>0</v>
      </c>
      <c r="J168" s="96"/>
      <c r="K168" s="333"/>
      <c r="L168" s="333"/>
      <c r="M168" s="333"/>
    </row>
    <row r="169" spans="1:13" s="33" customFormat="1" ht="31.5" x14ac:dyDescent="0.25">
      <c r="A169" s="34" t="s">
        <v>75</v>
      </c>
      <c r="B169" s="293" t="s">
        <v>218</v>
      </c>
      <c r="C169" s="19" t="s">
        <v>30</v>
      </c>
      <c r="D169" s="19" t="s">
        <v>76</v>
      </c>
      <c r="E169" s="30"/>
      <c r="F169" s="30"/>
      <c r="G169" s="20">
        <f>G170+G187</f>
        <v>44759054</v>
      </c>
      <c r="H169" s="20">
        <f>H170+H187</f>
        <v>27471024</v>
      </c>
      <c r="I169" s="20">
        <f>I170+I187</f>
        <v>27950723.619999997</v>
      </c>
      <c r="J169" s="96"/>
      <c r="K169" s="333"/>
      <c r="L169" s="333"/>
      <c r="M169" s="333"/>
    </row>
    <row r="170" spans="1:13" s="29" customFormat="1" ht="31.5" x14ac:dyDescent="0.25">
      <c r="A170" s="34" t="s">
        <v>151</v>
      </c>
      <c r="B170" s="292">
        <v>701</v>
      </c>
      <c r="C170" s="19" t="s">
        <v>30</v>
      </c>
      <c r="D170" s="19" t="s">
        <v>76</v>
      </c>
      <c r="E170" s="35" t="s">
        <v>77</v>
      </c>
      <c r="F170" s="30"/>
      <c r="G170" s="20">
        <f>G171+G182</f>
        <v>36759054</v>
      </c>
      <c r="H170" s="20">
        <f>H171+H182</f>
        <v>27471024</v>
      </c>
      <c r="I170" s="20">
        <f>I171+I182</f>
        <v>27950723.619999997</v>
      </c>
      <c r="J170" s="248"/>
      <c r="K170" s="330"/>
      <c r="L170" s="330"/>
      <c r="M170" s="330"/>
    </row>
    <row r="171" spans="1:13" s="29" customFormat="1" ht="30.75" x14ac:dyDescent="0.25">
      <c r="A171" s="32" t="s">
        <v>201</v>
      </c>
      <c r="B171" s="293" t="s">
        <v>218</v>
      </c>
      <c r="C171" s="23" t="s">
        <v>30</v>
      </c>
      <c r="D171" s="23" t="s">
        <v>76</v>
      </c>
      <c r="E171" s="36" t="s">
        <v>78</v>
      </c>
      <c r="F171" s="31"/>
      <c r="G171" s="260">
        <f>G172+G174+G176+G178+G180</f>
        <v>20761500</v>
      </c>
      <c r="H171" s="260">
        <f t="shared" ref="H171:I171" si="64">H172+H174+H176+H178+H180</f>
        <v>12763960</v>
      </c>
      <c r="I171" s="260">
        <f t="shared" si="64"/>
        <v>12766518.4</v>
      </c>
      <c r="J171" s="248"/>
      <c r="K171" s="330"/>
      <c r="L171" s="330"/>
      <c r="M171" s="330"/>
    </row>
    <row r="172" spans="1:13" s="29" customFormat="1" ht="33.75" customHeight="1" x14ac:dyDescent="0.25">
      <c r="A172" s="32" t="s">
        <v>568</v>
      </c>
      <c r="B172" s="292">
        <v>701</v>
      </c>
      <c r="C172" s="23" t="s">
        <v>30</v>
      </c>
      <c r="D172" s="23" t="s">
        <v>76</v>
      </c>
      <c r="E172" s="36" t="s">
        <v>569</v>
      </c>
      <c r="F172" s="31"/>
      <c r="G172" s="260">
        <f>G173</f>
        <v>3230000</v>
      </c>
      <c r="H172" s="260">
        <f t="shared" ref="H172:I172" si="65">H173</f>
        <v>3230000</v>
      </c>
      <c r="I172" s="260">
        <f t="shared" si="65"/>
        <v>3230000</v>
      </c>
      <c r="J172" s="248"/>
      <c r="K172" s="330"/>
      <c r="L172" s="330"/>
      <c r="M172" s="330"/>
    </row>
    <row r="173" spans="1:13" s="29" customFormat="1" x14ac:dyDescent="0.25">
      <c r="A173" s="32" t="s">
        <v>28</v>
      </c>
      <c r="B173" s="293" t="s">
        <v>218</v>
      </c>
      <c r="C173" s="23" t="s">
        <v>30</v>
      </c>
      <c r="D173" s="23" t="s">
        <v>76</v>
      </c>
      <c r="E173" s="36" t="s">
        <v>569</v>
      </c>
      <c r="F173" s="31">
        <v>800</v>
      </c>
      <c r="G173" s="260">
        <v>3230000</v>
      </c>
      <c r="H173" s="260">
        <v>3230000</v>
      </c>
      <c r="I173" s="260">
        <v>3230000</v>
      </c>
      <c r="J173" s="248"/>
      <c r="K173" s="330"/>
      <c r="L173" s="330"/>
      <c r="M173" s="330"/>
    </row>
    <row r="174" spans="1:13" s="29" customFormat="1" ht="30.75" x14ac:dyDescent="0.25">
      <c r="A174" s="32" t="s">
        <v>571</v>
      </c>
      <c r="B174" s="292">
        <v>701</v>
      </c>
      <c r="C174" s="23" t="s">
        <v>30</v>
      </c>
      <c r="D174" s="23" t="s">
        <v>76</v>
      </c>
      <c r="E174" s="36" t="s">
        <v>570</v>
      </c>
      <c r="F174" s="31"/>
      <c r="G174" s="260">
        <f>G175</f>
        <v>1200000</v>
      </c>
      <c r="H174" s="260">
        <f t="shared" ref="H174:I174" si="66">H175</f>
        <v>1200000</v>
      </c>
      <c r="I174" s="260">
        <f t="shared" si="66"/>
        <v>1200000</v>
      </c>
      <c r="J174" s="248"/>
      <c r="K174" s="330"/>
      <c r="L174" s="330"/>
      <c r="M174" s="330"/>
    </row>
    <row r="175" spans="1:13" s="29" customFormat="1" x14ac:dyDescent="0.25">
      <c r="A175" s="32" t="s">
        <v>28</v>
      </c>
      <c r="B175" s="293" t="s">
        <v>218</v>
      </c>
      <c r="C175" s="23" t="s">
        <v>30</v>
      </c>
      <c r="D175" s="23" t="s">
        <v>76</v>
      </c>
      <c r="E175" s="36" t="s">
        <v>570</v>
      </c>
      <c r="F175" s="31">
        <v>800</v>
      </c>
      <c r="G175" s="260">
        <v>1200000</v>
      </c>
      <c r="H175" s="260">
        <v>1200000</v>
      </c>
      <c r="I175" s="260">
        <v>1200000</v>
      </c>
      <c r="J175" s="248"/>
      <c r="K175" s="330"/>
      <c r="L175" s="330"/>
      <c r="M175" s="330"/>
    </row>
    <row r="176" spans="1:13" s="29" customFormat="1" x14ac:dyDescent="0.25">
      <c r="A176" s="32" t="s">
        <v>572</v>
      </c>
      <c r="B176" s="292">
        <v>701</v>
      </c>
      <c r="C176" s="23" t="s">
        <v>30</v>
      </c>
      <c r="D176" s="23" t="s">
        <v>76</v>
      </c>
      <c r="E176" s="36" t="s">
        <v>573</v>
      </c>
      <c r="F176" s="31"/>
      <c r="G176" s="260">
        <f>G177</f>
        <v>211500</v>
      </c>
      <c r="H176" s="260">
        <f t="shared" ref="H176:I176" si="67">H177</f>
        <v>213960</v>
      </c>
      <c r="I176" s="260">
        <f t="shared" si="67"/>
        <v>216518.40000000002</v>
      </c>
      <c r="J176" s="248"/>
      <c r="K176" s="330"/>
      <c r="L176" s="330"/>
      <c r="M176" s="330"/>
    </row>
    <row r="177" spans="1:13" s="29" customFormat="1" ht="30.75" x14ac:dyDescent="0.25">
      <c r="A177" s="32" t="s">
        <v>26</v>
      </c>
      <c r="B177" s="293" t="s">
        <v>218</v>
      </c>
      <c r="C177" s="23" t="s">
        <v>30</v>
      </c>
      <c r="D177" s="23" t="s">
        <v>76</v>
      </c>
      <c r="E177" s="36" t="s">
        <v>573</v>
      </c>
      <c r="F177" s="31">
        <v>200</v>
      </c>
      <c r="G177" s="260">
        <v>211500</v>
      </c>
      <c r="H177" s="260">
        <v>213960</v>
      </c>
      <c r="I177" s="260">
        <v>216518.40000000002</v>
      </c>
      <c r="J177" s="248"/>
      <c r="K177" s="330"/>
      <c r="L177" s="330"/>
      <c r="M177" s="330"/>
    </row>
    <row r="178" spans="1:13" s="29" customFormat="1" ht="45.75" x14ac:dyDescent="0.25">
      <c r="A178" s="32" t="s">
        <v>576</v>
      </c>
      <c r="B178" s="292">
        <v>701</v>
      </c>
      <c r="C178" s="23" t="s">
        <v>30</v>
      </c>
      <c r="D178" s="23" t="s">
        <v>76</v>
      </c>
      <c r="E178" s="36" t="s">
        <v>574</v>
      </c>
      <c r="F178" s="31"/>
      <c r="G178" s="260">
        <f>G179</f>
        <v>16000000</v>
      </c>
      <c r="H178" s="260">
        <f t="shared" ref="H178:I178" si="68">H179</f>
        <v>8000000</v>
      </c>
      <c r="I178" s="260">
        <f t="shared" si="68"/>
        <v>8000000</v>
      </c>
      <c r="J178" s="248"/>
      <c r="K178" s="330"/>
      <c r="L178" s="330"/>
      <c r="M178" s="330"/>
    </row>
    <row r="179" spans="1:13" s="29" customFormat="1" x14ac:dyDescent="0.25">
      <c r="A179" s="32" t="s">
        <v>28</v>
      </c>
      <c r="B179" s="293" t="s">
        <v>218</v>
      </c>
      <c r="C179" s="23" t="s">
        <v>30</v>
      </c>
      <c r="D179" s="23" t="s">
        <v>76</v>
      </c>
      <c r="E179" s="36" t="s">
        <v>574</v>
      </c>
      <c r="F179" s="31">
        <v>800</v>
      </c>
      <c r="G179" s="260">
        <v>16000000</v>
      </c>
      <c r="H179" s="260">
        <v>8000000</v>
      </c>
      <c r="I179" s="260">
        <v>8000000</v>
      </c>
      <c r="J179" s="248"/>
      <c r="K179" s="330"/>
      <c r="L179" s="330"/>
      <c r="M179" s="330"/>
    </row>
    <row r="180" spans="1:13" s="29" customFormat="1" ht="45.75" x14ac:dyDescent="0.25">
      <c r="A180" s="32" t="s">
        <v>577</v>
      </c>
      <c r="B180" s="292">
        <v>701</v>
      </c>
      <c r="C180" s="23" t="s">
        <v>30</v>
      </c>
      <c r="D180" s="23" t="s">
        <v>76</v>
      </c>
      <c r="E180" s="36" t="s">
        <v>575</v>
      </c>
      <c r="F180" s="31"/>
      <c r="G180" s="260">
        <f>G181</f>
        <v>120000</v>
      </c>
      <c r="H180" s="260">
        <f t="shared" ref="H180:I180" si="69">H181</f>
        <v>120000</v>
      </c>
      <c r="I180" s="260">
        <f t="shared" si="69"/>
        <v>120000</v>
      </c>
      <c r="J180" s="248"/>
      <c r="K180" s="330"/>
      <c r="L180" s="330"/>
      <c r="M180" s="330"/>
    </row>
    <row r="181" spans="1:13" s="29" customFormat="1" ht="75.75" x14ac:dyDescent="0.25">
      <c r="A181" s="32" t="s">
        <v>22</v>
      </c>
      <c r="B181" s="292">
        <v>701</v>
      </c>
      <c r="C181" s="23" t="s">
        <v>30</v>
      </c>
      <c r="D181" s="23" t="s">
        <v>76</v>
      </c>
      <c r="E181" s="36" t="s">
        <v>575</v>
      </c>
      <c r="F181" s="31">
        <v>200</v>
      </c>
      <c r="G181" s="260">
        <v>120000</v>
      </c>
      <c r="H181" s="260">
        <v>120000</v>
      </c>
      <c r="I181" s="260">
        <v>120000</v>
      </c>
      <c r="J181" s="248"/>
      <c r="K181" s="330"/>
      <c r="L181" s="330"/>
      <c r="M181" s="330"/>
    </row>
    <row r="182" spans="1:13" s="29" customFormat="1" x14ac:dyDescent="0.25">
      <c r="A182" s="233" t="s">
        <v>50</v>
      </c>
      <c r="B182" s="293" t="s">
        <v>218</v>
      </c>
      <c r="C182" s="23" t="s">
        <v>30</v>
      </c>
      <c r="D182" s="23" t="s">
        <v>76</v>
      </c>
      <c r="E182" s="36" t="s">
        <v>543</v>
      </c>
      <c r="F182" s="31"/>
      <c r="G182" s="260">
        <f>SUM(G184:G186)</f>
        <v>15997554</v>
      </c>
      <c r="H182" s="260">
        <f>SUM(H184:H186)</f>
        <v>14707064</v>
      </c>
      <c r="I182" s="260">
        <f>SUM(I184:I186)</f>
        <v>15184205.219999999</v>
      </c>
      <c r="J182" s="248"/>
      <c r="K182" s="330"/>
      <c r="L182" s="330"/>
      <c r="M182" s="330"/>
    </row>
    <row r="183" spans="1:13" s="29" customFormat="1" ht="30" x14ac:dyDescent="0.25">
      <c r="A183" s="233" t="s">
        <v>165</v>
      </c>
      <c r="B183" s="292">
        <v>701</v>
      </c>
      <c r="C183" s="23" t="s">
        <v>30</v>
      </c>
      <c r="D183" s="23" t="s">
        <v>76</v>
      </c>
      <c r="E183" s="36" t="s">
        <v>567</v>
      </c>
      <c r="F183" s="31"/>
      <c r="G183" s="260">
        <f>SUM(G184:G186)</f>
        <v>15997554</v>
      </c>
      <c r="H183" s="260">
        <f t="shared" ref="H183:I183" si="70">SUM(H184:H186)</f>
        <v>14707064</v>
      </c>
      <c r="I183" s="260">
        <f t="shared" si="70"/>
        <v>15184205.219999999</v>
      </c>
      <c r="J183" s="248"/>
      <c r="K183" s="330"/>
      <c r="L183" s="330"/>
      <c r="M183" s="330"/>
    </row>
    <row r="184" spans="1:13" s="29" customFormat="1" ht="75.75" x14ac:dyDescent="0.25">
      <c r="A184" s="22" t="s">
        <v>22</v>
      </c>
      <c r="B184" s="293" t="s">
        <v>218</v>
      </c>
      <c r="C184" s="23" t="s">
        <v>30</v>
      </c>
      <c r="D184" s="23" t="s">
        <v>76</v>
      </c>
      <c r="E184" s="36" t="s">
        <v>567</v>
      </c>
      <c r="F184" s="31">
        <v>100</v>
      </c>
      <c r="G184" s="260">
        <v>9306674</v>
      </c>
      <c r="H184" s="260">
        <v>8007578</v>
      </c>
      <c r="I184" s="260">
        <v>8222579.3200000003</v>
      </c>
      <c r="J184" s="248"/>
      <c r="K184" s="330"/>
      <c r="L184" s="330"/>
      <c r="M184" s="330"/>
    </row>
    <row r="185" spans="1:13" s="29" customFormat="1" ht="30.75" x14ac:dyDescent="0.25">
      <c r="A185" s="22" t="s">
        <v>26</v>
      </c>
      <c r="B185" s="292">
        <v>701</v>
      </c>
      <c r="C185" s="23" t="s">
        <v>30</v>
      </c>
      <c r="D185" s="23" t="s">
        <v>76</v>
      </c>
      <c r="E185" s="36" t="s">
        <v>567</v>
      </c>
      <c r="F185" s="31">
        <v>200</v>
      </c>
      <c r="G185" s="260">
        <v>5692980</v>
      </c>
      <c r="H185" s="260">
        <v>5701586</v>
      </c>
      <c r="I185" s="260">
        <v>5963725.8999999994</v>
      </c>
      <c r="J185" s="248"/>
      <c r="K185" s="330"/>
      <c r="L185" s="330"/>
      <c r="M185" s="330"/>
    </row>
    <row r="186" spans="1:13" s="29" customFormat="1" x14ac:dyDescent="0.25">
      <c r="A186" s="32" t="s">
        <v>28</v>
      </c>
      <c r="B186" s="293" t="s">
        <v>218</v>
      </c>
      <c r="C186" s="23" t="s">
        <v>30</v>
      </c>
      <c r="D186" s="23" t="s">
        <v>76</v>
      </c>
      <c r="E186" s="36" t="s">
        <v>567</v>
      </c>
      <c r="F186" s="31">
        <v>800</v>
      </c>
      <c r="G186" s="260">
        <v>997900</v>
      </c>
      <c r="H186" s="260">
        <v>997900</v>
      </c>
      <c r="I186" s="260">
        <v>997900</v>
      </c>
      <c r="J186" s="248"/>
      <c r="K186" s="330"/>
      <c r="L186" s="330"/>
      <c r="M186" s="330"/>
    </row>
    <row r="187" spans="1:13" s="33" customFormat="1" x14ac:dyDescent="0.25">
      <c r="A187" s="18" t="s">
        <v>18</v>
      </c>
      <c r="B187" s="292">
        <v>701</v>
      </c>
      <c r="C187" s="19" t="s">
        <v>30</v>
      </c>
      <c r="D187" s="19" t="s">
        <v>76</v>
      </c>
      <c r="E187" s="35" t="s">
        <v>19</v>
      </c>
      <c r="F187" s="30"/>
      <c r="G187" s="20">
        <f>G188</f>
        <v>8000000</v>
      </c>
      <c r="H187" s="20">
        <f t="shared" ref="H187:I189" si="71">H188</f>
        <v>0</v>
      </c>
      <c r="I187" s="20">
        <f t="shared" si="71"/>
        <v>0</v>
      </c>
      <c r="J187" s="96"/>
      <c r="K187" s="333"/>
      <c r="L187" s="333"/>
      <c r="M187" s="333"/>
    </row>
    <row r="188" spans="1:13" s="29" customFormat="1" x14ac:dyDescent="0.25">
      <c r="A188" s="22" t="s">
        <v>56</v>
      </c>
      <c r="B188" s="293" t="s">
        <v>218</v>
      </c>
      <c r="C188" s="23" t="s">
        <v>30</v>
      </c>
      <c r="D188" s="23" t="s">
        <v>76</v>
      </c>
      <c r="E188" s="36" t="s">
        <v>38</v>
      </c>
      <c r="F188" s="31"/>
      <c r="G188" s="24">
        <f>G189</f>
        <v>8000000</v>
      </c>
      <c r="H188" s="24">
        <f t="shared" si="71"/>
        <v>0</v>
      </c>
      <c r="I188" s="24">
        <f t="shared" si="71"/>
        <v>0</v>
      </c>
      <c r="J188" s="248"/>
      <c r="K188" s="330"/>
      <c r="L188" s="330"/>
      <c r="M188" s="330"/>
    </row>
    <row r="189" spans="1:13" s="29" customFormat="1" ht="30.75" x14ac:dyDescent="0.25">
      <c r="A189" s="22" t="s">
        <v>166</v>
      </c>
      <c r="B189" s="293" t="s">
        <v>218</v>
      </c>
      <c r="C189" s="23" t="s">
        <v>30</v>
      </c>
      <c r="D189" s="23" t="s">
        <v>76</v>
      </c>
      <c r="E189" s="36" t="s">
        <v>167</v>
      </c>
      <c r="F189" s="31"/>
      <c r="G189" s="24">
        <f>G190</f>
        <v>8000000</v>
      </c>
      <c r="H189" s="24">
        <f t="shared" si="71"/>
        <v>0</v>
      </c>
      <c r="I189" s="24">
        <f t="shared" si="71"/>
        <v>0</v>
      </c>
      <c r="J189" s="248"/>
      <c r="K189" s="330"/>
      <c r="L189" s="330"/>
      <c r="M189" s="330"/>
    </row>
    <row r="190" spans="1:13" s="29" customFormat="1" x14ac:dyDescent="0.25">
      <c r="A190" s="32" t="s">
        <v>28</v>
      </c>
      <c r="B190" s="292">
        <v>701</v>
      </c>
      <c r="C190" s="23" t="s">
        <v>30</v>
      </c>
      <c r="D190" s="23" t="s">
        <v>76</v>
      </c>
      <c r="E190" s="36" t="s">
        <v>167</v>
      </c>
      <c r="F190" s="31">
        <v>800</v>
      </c>
      <c r="G190" s="24">
        <f>'Приложение 2'!F135</f>
        <v>8000000</v>
      </c>
      <c r="H190" s="24">
        <f>'Приложение 2'!G135</f>
        <v>0</v>
      </c>
      <c r="I190" s="24">
        <f>'Приложение 2'!H135</f>
        <v>0</v>
      </c>
      <c r="J190" s="248"/>
      <c r="K190" s="330"/>
      <c r="L190" s="330"/>
      <c r="M190" s="330"/>
    </row>
    <row r="191" spans="1:13" s="29" customFormat="1" hidden="1" x14ac:dyDescent="0.25">
      <c r="A191" s="18" t="s">
        <v>79</v>
      </c>
      <c r="B191" s="293" t="s">
        <v>218</v>
      </c>
      <c r="C191" s="19" t="s">
        <v>63</v>
      </c>
      <c r="D191" s="19"/>
      <c r="E191" s="35"/>
      <c r="F191" s="30"/>
      <c r="G191" s="20">
        <f t="shared" ref="G191:H194" si="72">G192</f>
        <v>0</v>
      </c>
      <c r="H191" s="20">
        <f t="shared" si="72"/>
        <v>0</v>
      </c>
      <c r="I191" s="28"/>
      <c r="J191" s="248"/>
      <c r="K191" s="330"/>
      <c r="L191" s="330"/>
      <c r="M191" s="330"/>
    </row>
    <row r="192" spans="1:13" s="29" customFormat="1" hidden="1" x14ac:dyDescent="0.25">
      <c r="A192" s="18" t="s">
        <v>80</v>
      </c>
      <c r="B192" s="300" t="s">
        <v>218</v>
      </c>
      <c r="C192" s="19" t="s">
        <v>63</v>
      </c>
      <c r="D192" s="19" t="s">
        <v>25</v>
      </c>
      <c r="E192" s="35"/>
      <c r="F192" s="30"/>
      <c r="G192" s="20">
        <f t="shared" si="72"/>
        <v>0</v>
      </c>
      <c r="H192" s="20">
        <f t="shared" si="72"/>
        <v>0</v>
      </c>
      <c r="I192" s="28"/>
      <c r="J192" s="248"/>
      <c r="K192" s="330"/>
      <c r="L192" s="330"/>
      <c r="M192" s="330"/>
    </row>
    <row r="193" spans="1:13" s="29" customFormat="1" hidden="1" x14ac:dyDescent="0.25">
      <c r="A193" s="18" t="s">
        <v>18</v>
      </c>
      <c r="B193" s="301">
        <v>701</v>
      </c>
      <c r="C193" s="19" t="s">
        <v>63</v>
      </c>
      <c r="D193" s="19" t="s">
        <v>25</v>
      </c>
      <c r="E193" s="35" t="s">
        <v>19</v>
      </c>
      <c r="F193" s="30"/>
      <c r="G193" s="20">
        <f t="shared" si="72"/>
        <v>0</v>
      </c>
      <c r="H193" s="20">
        <f t="shared" si="72"/>
        <v>0</v>
      </c>
      <c r="I193" s="28"/>
      <c r="J193" s="248"/>
      <c r="K193" s="330"/>
      <c r="L193" s="330"/>
      <c r="M193" s="330"/>
    </row>
    <row r="194" spans="1:13" s="29" customFormat="1" hidden="1" x14ac:dyDescent="0.25">
      <c r="A194" s="22" t="s">
        <v>56</v>
      </c>
      <c r="B194" s="300" t="s">
        <v>218</v>
      </c>
      <c r="C194" s="23" t="s">
        <v>63</v>
      </c>
      <c r="D194" s="23" t="s">
        <v>25</v>
      </c>
      <c r="E194" s="36" t="s">
        <v>38</v>
      </c>
      <c r="F194" s="31"/>
      <c r="G194" s="24">
        <f t="shared" si="72"/>
        <v>0</v>
      </c>
      <c r="H194" s="24">
        <f t="shared" si="72"/>
        <v>0</v>
      </c>
      <c r="I194" s="28"/>
      <c r="J194" s="248"/>
      <c r="K194" s="330"/>
      <c r="L194" s="330"/>
      <c r="M194" s="330"/>
    </row>
    <row r="195" spans="1:13" s="29" customFormat="1" ht="30.75" hidden="1" x14ac:dyDescent="0.25">
      <c r="A195" s="22" t="s">
        <v>26</v>
      </c>
      <c r="B195" s="301">
        <v>701</v>
      </c>
      <c r="C195" s="23" t="s">
        <v>63</v>
      </c>
      <c r="D195" s="23" t="s">
        <v>25</v>
      </c>
      <c r="E195" s="36" t="s">
        <v>38</v>
      </c>
      <c r="F195" s="31">
        <v>200</v>
      </c>
      <c r="G195" s="24">
        <f>'[1]Приложение 3'!G144</f>
        <v>0</v>
      </c>
      <c r="H195" s="24">
        <f>'[1]Приложение 3'!H144</f>
        <v>0</v>
      </c>
      <c r="I195" s="28"/>
      <c r="J195" s="248"/>
      <c r="K195" s="330"/>
      <c r="L195" s="330"/>
      <c r="M195" s="330"/>
    </row>
    <row r="196" spans="1:13" s="33" customFormat="1" x14ac:dyDescent="0.25">
      <c r="A196" s="34" t="s">
        <v>81</v>
      </c>
      <c r="B196" s="292">
        <v>701</v>
      </c>
      <c r="C196" s="19" t="s">
        <v>32</v>
      </c>
      <c r="D196" s="19"/>
      <c r="E196" s="30"/>
      <c r="F196" s="30"/>
      <c r="G196" s="259">
        <f t="shared" ref="G196:I198" si="73">G197</f>
        <v>36937135.100000001</v>
      </c>
      <c r="H196" s="259">
        <f t="shared" si="73"/>
        <v>31880289.210000001</v>
      </c>
      <c r="I196" s="259">
        <f t="shared" si="73"/>
        <v>33155500.780000001</v>
      </c>
      <c r="J196" s="96"/>
      <c r="K196" s="333"/>
      <c r="L196" s="333"/>
      <c r="M196" s="333"/>
    </row>
    <row r="197" spans="1:13" s="33" customFormat="1" ht="31.5" x14ac:dyDescent="0.25">
      <c r="A197" s="18" t="s">
        <v>82</v>
      </c>
      <c r="B197" s="293" t="s">
        <v>218</v>
      </c>
      <c r="C197" s="19" t="s">
        <v>32</v>
      </c>
      <c r="D197" s="19" t="s">
        <v>25</v>
      </c>
      <c r="E197" s="35"/>
      <c r="F197" s="30"/>
      <c r="G197" s="259">
        <f t="shared" si="73"/>
        <v>36937135.100000001</v>
      </c>
      <c r="H197" s="259">
        <f t="shared" si="73"/>
        <v>31880289.210000001</v>
      </c>
      <c r="I197" s="259">
        <f t="shared" si="73"/>
        <v>33155500.780000001</v>
      </c>
      <c r="J197" s="96"/>
      <c r="K197" s="333"/>
      <c r="L197" s="333"/>
      <c r="M197" s="333"/>
    </row>
    <row r="198" spans="1:13" s="33" customFormat="1" ht="31.5" x14ac:dyDescent="0.25">
      <c r="A198" s="34" t="s">
        <v>83</v>
      </c>
      <c r="B198" s="292">
        <v>701</v>
      </c>
      <c r="C198" s="19" t="s">
        <v>32</v>
      </c>
      <c r="D198" s="19" t="s">
        <v>25</v>
      </c>
      <c r="E198" s="234">
        <v>7100000000</v>
      </c>
      <c r="F198" s="234"/>
      <c r="G198" s="259">
        <f t="shared" si="73"/>
        <v>36937135.100000001</v>
      </c>
      <c r="H198" s="259">
        <f t="shared" si="73"/>
        <v>31880289.210000001</v>
      </c>
      <c r="I198" s="259">
        <f t="shared" si="73"/>
        <v>33155500.780000001</v>
      </c>
      <c r="J198" s="96"/>
      <c r="K198" s="333"/>
      <c r="L198" s="333"/>
      <c r="M198" s="333"/>
    </row>
    <row r="199" spans="1:13" s="33" customFormat="1" ht="45.75" x14ac:dyDescent="0.25">
      <c r="A199" s="32" t="s">
        <v>202</v>
      </c>
      <c r="B199" s="293" t="s">
        <v>218</v>
      </c>
      <c r="C199" s="23" t="s">
        <v>32</v>
      </c>
      <c r="D199" s="23" t="s">
        <v>25</v>
      </c>
      <c r="E199" s="228">
        <v>7130000000</v>
      </c>
      <c r="F199" s="228"/>
      <c r="G199" s="260">
        <f>G200+G203+G205+G207</f>
        <v>36937135.100000001</v>
      </c>
      <c r="H199" s="260">
        <f t="shared" ref="H199:I199" si="74">H200+H203+H205+H207</f>
        <v>31880289.210000001</v>
      </c>
      <c r="I199" s="260">
        <f t="shared" si="74"/>
        <v>33155500.780000001</v>
      </c>
      <c r="J199" s="96"/>
      <c r="K199" s="333"/>
      <c r="L199" s="333"/>
      <c r="M199" s="333"/>
    </row>
    <row r="200" spans="1:13" s="33" customFormat="1" ht="30.75" x14ac:dyDescent="0.25">
      <c r="A200" s="32" t="s">
        <v>578</v>
      </c>
      <c r="B200" s="292">
        <v>701</v>
      </c>
      <c r="C200" s="23" t="s">
        <v>32</v>
      </c>
      <c r="D200" s="23" t="s">
        <v>25</v>
      </c>
      <c r="E200" s="228">
        <v>7130010010</v>
      </c>
      <c r="F200" s="228"/>
      <c r="G200" s="260">
        <f>G201+G202</f>
        <v>36743135.100000001</v>
      </c>
      <c r="H200" s="260">
        <f t="shared" ref="H200:I200" si="75">H201+H202</f>
        <v>31611289.210000001</v>
      </c>
      <c r="I200" s="260">
        <f t="shared" si="75"/>
        <v>32886500.780000001</v>
      </c>
      <c r="J200" s="96"/>
      <c r="K200" s="333"/>
      <c r="L200" s="333"/>
      <c r="M200" s="333"/>
    </row>
    <row r="201" spans="1:13" s="33" customFormat="1" ht="30.75" x14ac:dyDescent="0.25">
      <c r="A201" s="32" t="s">
        <v>26</v>
      </c>
      <c r="B201" s="293" t="s">
        <v>218</v>
      </c>
      <c r="C201" s="23" t="s">
        <v>32</v>
      </c>
      <c r="D201" s="23" t="s">
        <v>25</v>
      </c>
      <c r="E201" s="228">
        <v>7130010010</v>
      </c>
      <c r="F201" s="228">
        <v>200</v>
      </c>
      <c r="G201" s="260">
        <f>26245124.24+6283010.86-8277265.35</f>
        <v>24250869.75</v>
      </c>
      <c r="H201" s="260">
        <v>31611289.210000001</v>
      </c>
      <c r="I201" s="260">
        <v>32886500.780000001</v>
      </c>
      <c r="J201" s="96"/>
      <c r="K201" s="333"/>
    </row>
    <row r="202" spans="1:13" s="33" customFormat="1" x14ac:dyDescent="0.25">
      <c r="A202" s="32" t="s">
        <v>84</v>
      </c>
      <c r="B202" s="293" t="s">
        <v>218</v>
      </c>
      <c r="C202" s="23" t="s">
        <v>32</v>
      </c>
      <c r="D202" s="23" t="s">
        <v>25</v>
      </c>
      <c r="E202" s="228">
        <v>7130010010</v>
      </c>
      <c r="F202" s="228">
        <v>500</v>
      </c>
      <c r="G202" s="260">
        <f>4215000+8277265.35</f>
        <v>12492265.35</v>
      </c>
      <c r="H202" s="260">
        <v>0</v>
      </c>
      <c r="I202" s="260">
        <v>0</v>
      </c>
      <c r="J202" s="96"/>
      <c r="K202" s="333"/>
    </row>
    <row r="203" spans="1:13" s="33" customFormat="1" ht="30.75" x14ac:dyDescent="0.25">
      <c r="A203" s="32" t="s">
        <v>579</v>
      </c>
      <c r="B203" s="292">
        <v>701</v>
      </c>
      <c r="C203" s="23" t="s">
        <v>32</v>
      </c>
      <c r="D203" s="23" t="s">
        <v>25</v>
      </c>
      <c r="E203" s="228">
        <v>7130010040</v>
      </c>
      <c r="F203" s="228"/>
      <c r="G203" s="260">
        <f>G204</f>
        <v>0</v>
      </c>
      <c r="H203" s="260">
        <f t="shared" ref="H203:I203" si="76">H204</f>
        <v>0</v>
      </c>
      <c r="I203" s="260">
        <f t="shared" si="76"/>
        <v>0</v>
      </c>
      <c r="J203" s="96"/>
    </row>
    <row r="204" spans="1:13" s="33" customFormat="1" ht="30.75" x14ac:dyDescent="0.25">
      <c r="A204" s="32" t="s">
        <v>26</v>
      </c>
      <c r="B204" s="292">
        <v>701</v>
      </c>
      <c r="C204" s="23" t="s">
        <v>32</v>
      </c>
      <c r="D204" s="23" t="s">
        <v>25</v>
      </c>
      <c r="E204" s="228">
        <v>7130010040</v>
      </c>
      <c r="F204" s="228">
        <v>200</v>
      </c>
      <c r="G204" s="260">
        <f>4215000-4215000</f>
        <v>0</v>
      </c>
      <c r="H204" s="260">
        <v>0</v>
      </c>
      <c r="I204" s="260">
        <v>0</v>
      </c>
      <c r="J204" s="96"/>
    </row>
    <row r="205" spans="1:13" s="33" customFormat="1" ht="30.75" x14ac:dyDescent="0.25">
      <c r="A205" s="32" t="s">
        <v>580</v>
      </c>
      <c r="B205" s="293" t="s">
        <v>218</v>
      </c>
      <c r="C205" s="23" t="s">
        <v>32</v>
      </c>
      <c r="D205" s="23" t="s">
        <v>25</v>
      </c>
      <c r="E205" s="228">
        <v>7130010070</v>
      </c>
      <c r="F205" s="228"/>
      <c r="G205" s="260">
        <f>G206</f>
        <v>25000</v>
      </c>
      <c r="H205" s="260">
        <f t="shared" ref="H205:I205" si="77">H206</f>
        <v>25000</v>
      </c>
      <c r="I205" s="260">
        <f t="shared" si="77"/>
        <v>25000</v>
      </c>
      <c r="J205" s="96"/>
    </row>
    <row r="206" spans="1:13" s="33" customFormat="1" ht="30.75" x14ac:dyDescent="0.25">
      <c r="A206" s="32" t="s">
        <v>26</v>
      </c>
      <c r="B206" s="292">
        <v>701</v>
      </c>
      <c r="C206" s="23" t="s">
        <v>32</v>
      </c>
      <c r="D206" s="23" t="s">
        <v>25</v>
      </c>
      <c r="E206" s="228">
        <v>7130010070</v>
      </c>
      <c r="F206" s="228">
        <v>200</v>
      </c>
      <c r="G206" s="260">
        <v>25000</v>
      </c>
      <c r="H206" s="260">
        <v>25000</v>
      </c>
      <c r="I206" s="260">
        <v>25000</v>
      </c>
      <c r="J206" s="96"/>
      <c r="K206" s="96"/>
      <c r="L206" s="96"/>
    </row>
    <row r="207" spans="1:13" s="33" customFormat="1" x14ac:dyDescent="0.25">
      <c r="A207" s="32" t="s">
        <v>581</v>
      </c>
      <c r="B207" s="293" t="s">
        <v>218</v>
      </c>
      <c r="C207" s="23" t="s">
        <v>32</v>
      </c>
      <c r="D207" s="23" t="s">
        <v>25</v>
      </c>
      <c r="E207" s="228">
        <v>7130010080</v>
      </c>
      <c r="F207" s="228"/>
      <c r="G207" s="260">
        <f>G208</f>
        <v>169000</v>
      </c>
      <c r="H207" s="260">
        <f t="shared" ref="H207:I207" si="78">H208</f>
        <v>244000</v>
      </c>
      <c r="I207" s="260">
        <f t="shared" si="78"/>
        <v>244000</v>
      </c>
      <c r="J207" s="249"/>
      <c r="K207" s="96"/>
      <c r="L207" s="96"/>
    </row>
    <row r="208" spans="1:13" s="33" customFormat="1" ht="30" x14ac:dyDescent="0.25">
      <c r="A208" s="37" t="s">
        <v>26</v>
      </c>
      <c r="B208" s="292">
        <v>701</v>
      </c>
      <c r="C208" s="23" t="s">
        <v>32</v>
      </c>
      <c r="D208" s="23" t="s">
        <v>25</v>
      </c>
      <c r="E208" s="228">
        <v>7130010080</v>
      </c>
      <c r="F208" s="228">
        <v>200</v>
      </c>
      <c r="G208" s="321">
        <v>169000</v>
      </c>
      <c r="H208" s="321">
        <v>244000</v>
      </c>
      <c r="I208" s="321">
        <v>244000</v>
      </c>
      <c r="J208" s="317"/>
      <c r="K208" s="317"/>
      <c r="L208" s="317"/>
    </row>
    <row r="209" spans="1:13" s="33" customFormat="1" x14ac:dyDescent="0.25">
      <c r="A209" s="34" t="s">
        <v>85</v>
      </c>
      <c r="B209" s="293" t="s">
        <v>218</v>
      </c>
      <c r="C209" s="19" t="s">
        <v>34</v>
      </c>
      <c r="D209" s="19"/>
      <c r="E209" s="30"/>
      <c r="F209" s="30"/>
      <c r="G209" s="20">
        <f>G210+G223+G256+G324+G351+G280</f>
        <v>1540614592.3799999</v>
      </c>
      <c r="H209" s="20">
        <f>H210+H223+H256+H324+H351+H280</f>
        <v>1334651200.9744</v>
      </c>
      <c r="I209" s="20">
        <f>I210+I223+I256+I324+I351+I280</f>
        <v>1364209207.4908001</v>
      </c>
      <c r="J209" s="96"/>
      <c r="K209" s="95"/>
      <c r="L209" s="95"/>
      <c r="M209" s="95"/>
    </row>
    <row r="210" spans="1:13" s="33" customFormat="1" x14ac:dyDescent="0.25">
      <c r="A210" s="34" t="s">
        <v>86</v>
      </c>
      <c r="B210" s="292">
        <v>701</v>
      </c>
      <c r="C210" s="19" t="s">
        <v>34</v>
      </c>
      <c r="D210" s="19" t="s">
        <v>15</v>
      </c>
      <c r="E210" s="30"/>
      <c r="F210" s="30"/>
      <c r="G210" s="20">
        <f>G211+G218</f>
        <v>417247479.91000003</v>
      </c>
      <c r="H210" s="20">
        <f>H211+H218</f>
        <v>388941350.53000003</v>
      </c>
      <c r="I210" s="20">
        <f>I211+I218</f>
        <v>402363350.30000007</v>
      </c>
      <c r="J210" s="96"/>
    </row>
    <row r="211" spans="1:13" s="38" customFormat="1" x14ac:dyDescent="0.25">
      <c r="A211" s="34" t="s">
        <v>87</v>
      </c>
      <c r="B211" s="293" t="s">
        <v>218</v>
      </c>
      <c r="C211" s="19" t="s">
        <v>34</v>
      </c>
      <c r="D211" s="19" t="s">
        <v>15</v>
      </c>
      <c r="E211" s="35" t="s">
        <v>88</v>
      </c>
      <c r="F211" s="30"/>
      <c r="G211" s="259">
        <f>G212</f>
        <v>384820209.05000001</v>
      </c>
      <c r="H211" s="259">
        <f>H212</f>
        <v>381617159.83000004</v>
      </c>
      <c r="I211" s="259">
        <f>I212</f>
        <v>395325447.19000006</v>
      </c>
      <c r="J211" s="250"/>
    </row>
    <row r="212" spans="1:13" s="1" customFormat="1" ht="15" x14ac:dyDescent="0.2">
      <c r="A212" s="235" t="s">
        <v>50</v>
      </c>
      <c r="B212" s="292">
        <v>701</v>
      </c>
      <c r="C212" s="23" t="s">
        <v>34</v>
      </c>
      <c r="D212" s="23" t="s">
        <v>15</v>
      </c>
      <c r="E212" s="36" t="s">
        <v>89</v>
      </c>
      <c r="F212" s="31"/>
      <c r="G212" s="260">
        <f>G213</f>
        <v>384820209.05000001</v>
      </c>
      <c r="H212" s="260">
        <f t="shared" ref="H212:I212" si="79">H213</f>
        <v>381617159.83000004</v>
      </c>
      <c r="I212" s="260">
        <f t="shared" si="79"/>
        <v>395325447.19000006</v>
      </c>
      <c r="J212" s="251"/>
    </row>
    <row r="213" spans="1:13" s="1" customFormat="1" ht="30" x14ac:dyDescent="0.2">
      <c r="A213" s="235" t="s">
        <v>634</v>
      </c>
      <c r="B213" s="293" t="s">
        <v>218</v>
      </c>
      <c r="C213" s="23" t="s">
        <v>34</v>
      </c>
      <c r="D213" s="23" t="s">
        <v>15</v>
      </c>
      <c r="E213" s="36">
        <v>5840022001</v>
      </c>
      <c r="F213" s="31"/>
      <c r="G213" s="260">
        <f>SUM(G214:G217)</f>
        <v>384820209.05000001</v>
      </c>
      <c r="H213" s="260">
        <f t="shared" ref="H213:I213" si="80">SUM(H214:H217)</f>
        <v>381617159.83000004</v>
      </c>
      <c r="I213" s="260">
        <f t="shared" si="80"/>
        <v>395325447.19000006</v>
      </c>
      <c r="J213" s="251"/>
    </row>
    <row r="214" spans="1:13" s="38" customFormat="1" ht="75" x14ac:dyDescent="0.2">
      <c r="A214" s="32" t="s">
        <v>22</v>
      </c>
      <c r="B214" s="292">
        <v>701</v>
      </c>
      <c r="C214" s="23" t="s">
        <v>34</v>
      </c>
      <c r="D214" s="23" t="s">
        <v>15</v>
      </c>
      <c r="E214" s="36">
        <v>5840022001</v>
      </c>
      <c r="F214" s="31">
        <v>100</v>
      </c>
      <c r="G214" s="261">
        <f>195941035.19-313290</f>
        <v>195627745.19</v>
      </c>
      <c r="H214" s="261">
        <v>195941035.19</v>
      </c>
      <c r="I214" s="261">
        <v>199594401.33000001</v>
      </c>
      <c r="J214" s="250"/>
      <c r="K214" s="331"/>
      <c r="L214" s="331"/>
      <c r="M214" s="331"/>
    </row>
    <row r="215" spans="1:13" s="38" customFormat="1" ht="30" x14ac:dyDescent="0.2">
      <c r="A215" s="22" t="s">
        <v>26</v>
      </c>
      <c r="B215" s="293" t="s">
        <v>218</v>
      </c>
      <c r="C215" s="23" t="s">
        <v>34</v>
      </c>
      <c r="D215" s="23" t="s">
        <v>15</v>
      </c>
      <c r="E215" s="36">
        <v>5840022001</v>
      </c>
      <c r="F215" s="31">
        <v>200</v>
      </c>
      <c r="G215" s="261">
        <f>184734783.46+296774.4-3200</f>
        <v>185028357.86000001</v>
      </c>
      <c r="H215" s="261">
        <v>181816340.64000002</v>
      </c>
      <c r="I215" s="261">
        <v>191871261.86000001</v>
      </c>
      <c r="J215" s="250"/>
      <c r="K215" s="331"/>
      <c r="L215" s="331"/>
      <c r="M215" s="331"/>
    </row>
    <row r="216" spans="1:13" s="38" customFormat="1" ht="15" x14ac:dyDescent="0.2">
      <c r="A216" s="32" t="s">
        <v>52</v>
      </c>
      <c r="B216" s="292">
        <v>701</v>
      </c>
      <c r="C216" s="23" t="s">
        <v>34</v>
      </c>
      <c r="D216" s="23" t="s">
        <v>15</v>
      </c>
      <c r="E216" s="36">
        <v>5840022001</v>
      </c>
      <c r="F216" s="31">
        <v>300</v>
      </c>
      <c r="G216" s="261">
        <v>313290</v>
      </c>
      <c r="H216" s="261">
        <v>0</v>
      </c>
      <c r="I216" s="261">
        <v>0</v>
      </c>
      <c r="J216" s="250"/>
      <c r="K216" s="331"/>
      <c r="L216" s="331"/>
      <c r="M216" s="331"/>
    </row>
    <row r="217" spans="1:13" s="33" customFormat="1" x14ac:dyDescent="0.25">
      <c r="A217" s="32" t="s">
        <v>28</v>
      </c>
      <c r="B217" s="293" t="s">
        <v>218</v>
      </c>
      <c r="C217" s="23" t="s">
        <v>34</v>
      </c>
      <c r="D217" s="23" t="s">
        <v>15</v>
      </c>
      <c r="E217" s="36">
        <v>5840022001</v>
      </c>
      <c r="F217" s="31">
        <v>800</v>
      </c>
      <c r="G217" s="261">
        <v>3850816</v>
      </c>
      <c r="H217" s="261">
        <v>3859784</v>
      </c>
      <c r="I217" s="261">
        <v>3859784</v>
      </c>
      <c r="J217" s="96"/>
      <c r="K217" s="333"/>
      <c r="L217" s="333"/>
      <c r="M217" s="333"/>
    </row>
    <row r="218" spans="1:13" s="33" customFormat="1" x14ac:dyDescent="0.25">
      <c r="A218" s="18" t="s">
        <v>18</v>
      </c>
      <c r="B218" s="292">
        <v>701</v>
      </c>
      <c r="C218" s="19" t="s">
        <v>34</v>
      </c>
      <c r="D218" s="19" t="s">
        <v>15</v>
      </c>
      <c r="E218" s="39" t="s">
        <v>19</v>
      </c>
      <c r="F218" s="30"/>
      <c r="G218" s="20">
        <f t="shared" ref="G218:I219" si="81">G219</f>
        <v>32427270.859999999</v>
      </c>
      <c r="H218" s="20">
        <f t="shared" si="81"/>
        <v>7324190.7000000002</v>
      </c>
      <c r="I218" s="20">
        <f t="shared" si="81"/>
        <v>7037903.1100000003</v>
      </c>
      <c r="J218" s="96"/>
      <c r="K218" s="333"/>
      <c r="L218" s="333"/>
      <c r="M218" s="333"/>
    </row>
    <row r="219" spans="1:13" s="33" customFormat="1" x14ac:dyDescent="0.25">
      <c r="A219" s="22" t="s">
        <v>56</v>
      </c>
      <c r="B219" s="293" t="s">
        <v>218</v>
      </c>
      <c r="C219" s="23" t="s">
        <v>34</v>
      </c>
      <c r="D219" s="23" t="s">
        <v>15</v>
      </c>
      <c r="E219" s="40" t="s">
        <v>38</v>
      </c>
      <c r="F219" s="31"/>
      <c r="G219" s="24">
        <f>G220</f>
        <v>32427270.859999999</v>
      </c>
      <c r="H219" s="24">
        <f t="shared" si="81"/>
        <v>7324190.7000000002</v>
      </c>
      <c r="I219" s="24">
        <f t="shared" si="81"/>
        <v>7037903.1100000003</v>
      </c>
      <c r="J219" s="96"/>
    </row>
    <row r="220" spans="1:13" s="33" customFormat="1" ht="30.75" x14ac:dyDescent="0.25">
      <c r="A220" s="22" t="s">
        <v>166</v>
      </c>
      <c r="B220" s="292">
        <v>701</v>
      </c>
      <c r="C220" s="23" t="s">
        <v>34</v>
      </c>
      <c r="D220" s="23" t="s">
        <v>15</v>
      </c>
      <c r="E220" s="40" t="s">
        <v>167</v>
      </c>
      <c r="F220" s="31"/>
      <c r="G220" s="24">
        <f>SUM(G221:G222)</f>
        <v>32427270.859999999</v>
      </c>
      <c r="H220" s="24">
        <f>SUM(H221:H222)</f>
        <v>7324190.7000000002</v>
      </c>
      <c r="I220" s="24">
        <f>SUM(I221:I222)</f>
        <v>7037903.1100000003</v>
      </c>
      <c r="J220" s="96"/>
    </row>
    <row r="221" spans="1:13" s="33" customFormat="1" ht="30.75" x14ac:dyDescent="0.25">
      <c r="A221" s="22" t="s">
        <v>26</v>
      </c>
      <c r="B221" s="292">
        <v>701</v>
      </c>
      <c r="C221" s="23" t="s">
        <v>34</v>
      </c>
      <c r="D221" s="23" t="s">
        <v>15</v>
      </c>
      <c r="E221" s="40" t="s">
        <v>167</v>
      </c>
      <c r="F221" s="31">
        <v>200</v>
      </c>
      <c r="G221" s="24">
        <f>'Приложение 2'!F153</f>
        <v>24816792.579999998</v>
      </c>
      <c r="H221" s="24">
        <f>'Приложение 2'!G153</f>
        <v>0</v>
      </c>
      <c r="I221" s="24">
        <f>'Приложение 2'!H153</f>
        <v>0</v>
      </c>
      <c r="J221" s="96"/>
    </row>
    <row r="222" spans="1:13" s="33" customFormat="1" x14ac:dyDescent="0.25">
      <c r="A222" s="32" t="s">
        <v>28</v>
      </c>
      <c r="B222" s="293" t="s">
        <v>218</v>
      </c>
      <c r="C222" s="23" t="s">
        <v>34</v>
      </c>
      <c r="D222" s="23" t="s">
        <v>15</v>
      </c>
      <c r="E222" s="40" t="s">
        <v>167</v>
      </c>
      <c r="F222" s="31">
        <v>800</v>
      </c>
      <c r="G222" s="24">
        <f>'Приложение 2'!F154</f>
        <v>7610478.2800000003</v>
      </c>
      <c r="H222" s="24">
        <f>'Приложение 2'!G154</f>
        <v>7324190.7000000002</v>
      </c>
      <c r="I222" s="24">
        <f>'Приложение 2'!H154</f>
        <v>7037903.1100000003</v>
      </c>
      <c r="J222" s="96"/>
    </row>
    <row r="223" spans="1:13" s="33" customFormat="1" x14ac:dyDescent="0.25">
      <c r="A223" s="34" t="s">
        <v>90</v>
      </c>
      <c r="B223" s="292">
        <v>701</v>
      </c>
      <c r="C223" s="19" t="s">
        <v>34</v>
      </c>
      <c r="D223" s="19" t="s">
        <v>17</v>
      </c>
      <c r="E223" s="30"/>
      <c r="F223" s="30"/>
      <c r="G223" s="20">
        <f>G224+G242+G246</f>
        <v>654811661.50999999</v>
      </c>
      <c r="H223" s="20">
        <f>H224+H242+H246</f>
        <v>527472658.45999998</v>
      </c>
      <c r="I223" s="20">
        <f>I224+I242+I246</f>
        <v>537328644.54999995</v>
      </c>
      <c r="J223" s="96"/>
    </row>
    <row r="224" spans="1:13" s="33" customFormat="1" x14ac:dyDescent="0.25">
      <c r="A224" s="34" t="s">
        <v>87</v>
      </c>
      <c r="B224" s="293" t="s">
        <v>218</v>
      </c>
      <c r="C224" s="19" t="s">
        <v>34</v>
      </c>
      <c r="D224" s="19" t="s">
        <v>17</v>
      </c>
      <c r="E224" s="35" t="s">
        <v>88</v>
      </c>
      <c r="F224" s="30"/>
      <c r="G224" s="20">
        <f>G233+G229+G225</f>
        <v>537071980.88</v>
      </c>
      <c r="H224" s="20">
        <f>H233+H229+H225</f>
        <v>527472658.45999998</v>
      </c>
      <c r="I224" s="20">
        <f>I233+I229+I225</f>
        <v>537328644.54999995</v>
      </c>
      <c r="J224" s="96"/>
    </row>
    <row r="225" spans="1:20" s="29" customFormat="1" ht="60.75" x14ac:dyDescent="0.25">
      <c r="A225" s="32" t="s">
        <v>635</v>
      </c>
      <c r="B225" s="292">
        <v>701</v>
      </c>
      <c r="C225" s="23" t="s">
        <v>34</v>
      </c>
      <c r="D225" s="23" t="s">
        <v>17</v>
      </c>
      <c r="E225" s="36" t="s">
        <v>92</v>
      </c>
      <c r="F225" s="31"/>
      <c r="G225" s="260">
        <f>G226</f>
        <v>88434</v>
      </c>
      <c r="H225" s="260">
        <f t="shared" ref="H225:I225" si="82">H226</f>
        <v>88434</v>
      </c>
      <c r="I225" s="260">
        <f t="shared" si="82"/>
        <v>86783.78</v>
      </c>
      <c r="J225" s="248"/>
    </row>
    <row r="226" spans="1:20" s="29" customFormat="1" ht="60.75" x14ac:dyDescent="0.25">
      <c r="A226" s="32" t="s">
        <v>637</v>
      </c>
      <c r="B226" s="293" t="s">
        <v>218</v>
      </c>
      <c r="C226" s="23" t="s">
        <v>34</v>
      </c>
      <c r="D226" s="23" t="s">
        <v>17</v>
      </c>
      <c r="E226" s="36" t="s">
        <v>636</v>
      </c>
      <c r="F226" s="31"/>
      <c r="G226" s="260">
        <f>SUM(G227:G228)</f>
        <v>88434</v>
      </c>
      <c r="H226" s="260">
        <f t="shared" ref="H226:I226" si="83">SUM(H227:H228)</f>
        <v>88434</v>
      </c>
      <c r="I226" s="260">
        <f t="shared" si="83"/>
        <v>86783.78</v>
      </c>
      <c r="J226" s="248"/>
    </row>
    <row r="227" spans="1:20" s="33" customFormat="1" ht="75.75" x14ac:dyDescent="0.25">
      <c r="A227" s="32" t="s">
        <v>22</v>
      </c>
      <c r="B227" s="292">
        <v>701</v>
      </c>
      <c r="C227" s="23" t="s">
        <v>34</v>
      </c>
      <c r="D227" s="23" t="s">
        <v>17</v>
      </c>
      <c r="E227" s="100" t="s">
        <v>636</v>
      </c>
      <c r="F227" s="101" t="s">
        <v>23</v>
      </c>
      <c r="G227" s="260">
        <v>32425.8</v>
      </c>
      <c r="H227" s="260">
        <v>32425.8</v>
      </c>
      <c r="I227" s="260">
        <v>30775.579999999998</v>
      </c>
      <c r="J227" s="96"/>
    </row>
    <row r="228" spans="1:20" s="33" customFormat="1" ht="30.75" x14ac:dyDescent="0.25">
      <c r="A228" s="32" t="s">
        <v>54</v>
      </c>
      <c r="B228" s="293" t="s">
        <v>218</v>
      </c>
      <c r="C228" s="23" t="s">
        <v>34</v>
      </c>
      <c r="D228" s="23" t="s">
        <v>17</v>
      </c>
      <c r="E228" s="100" t="s">
        <v>636</v>
      </c>
      <c r="F228" s="101" t="s">
        <v>55</v>
      </c>
      <c r="G228" s="260">
        <v>56008.2</v>
      </c>
      <c r="H228" s="260">
        <v>56008.2</v>
      </c>
      <c r="I228" s="260">
        <v>56008.2</v>
      </c>
      <c r="J228" s="96"/>
    </row>
    <row r="229" spans="1:20" s="29" customFormat="1" ht="30.75" x14ac:dyDescent="0.25">
      <c r="A229" s="32" t="s">
        <v>539</v>
      </c>
      <c r="B229" s="292">
        <v>701</v>
      </c>
      <c r="C229" s="23" t="s">
        <v>34</v>
      </c>
      <c r="D229" s="23" t="s">
        <v>17</v>
      </c>
      <c r="E229" s="36" t="s">
        <v>93</v>
      </c>
      <c r="F229" s="31"/>
      <c r="G229" s="260">
        <f>G230</f>
        <v>665054.6100000001</v>
      </c>
      <c r="H229" s="260">
        <f t="shared" ref="H229:I229" si="84">H230</f>
        <v>0</v>
      </c>
      <c r="I229" s="260">
        <f t="shared" si="84"/>
        <v>0</v>
      </c>
      <c r="J229" s="248"/>
    </row>
    <row r="230" spans="1:20" s="29" customFormat="1" ht="30.75" x14ac:dyDescent="0.25">
      <c r="A230" s="32" t="s">
        <v>639</v>
      </c>
      <c r="B230" s="293" t="s">
        <v>218</v>
      </c>
      <c r="C230" s="23" t="s">
        <v>34</v>
      </c>
      <c r="D230" s="23" t="s">
        <v>17</v>
      </c>
      <c r="E230" s="36" t="s">
        <v>638</v>
      </c>
      <c r="F230" s="31"/>
      <c r="G230" s="260">
        <f>SUM(G231:G232)</f>
        <v>665054.6100000001</v>
      </c>
      <c r="H230" s="260">
        <f t="shared" ref="H230:I230" si="85">SUM(H231:H232)</f>
        <v>0</v>
      </c>
      <c r="I230" s="260">
        <f t="shared" si="85"/>
        <v>0</v>
      </c>
      <c r="J230" s="248"/>
    </row>
    <row r="231" spans="1:20" s="29" customFormat="1" ht="30.75" x14ac:dyDescent="0.25">
      <c r="A231" s="22" t="s">
        <v>26</v>
      </c>
      <c r="B231" s="292">
        <v>701</v>
      </c>
      <c r="C231" s="23" t="s">
        <v>34</v>
      </c>
      <c r="D231" s="23" t="s">
        <v>17</v>
      </c>
      <c r="E231" s="36" t="s">
        <v>638</v>
      </c>
      <c r="F231" s="31">
        <v>200</v>
      </c>
      <c r="G231" s="260">
        <f>576496.01-492275</f>
        <v>84221.010000000009</v>
      </c>
      <c r="H231" s="260">
        <v>0</v>
      </c>
      <c r="I231" s="260">
        <v>0</v>
      </c>
      <c r="J231" s="248"/>
      <c r="K231" s="330"/>
      <c r="L231" s="330"/>
      <c r="M231" s="330"/>
      <c r="N231" s="330"/>
      <c r="O231" s="330"/>
      <c r="P231" s="330"/>
      <c r="Q231" s="330"/>
      <c r="R231" s="330"/>
      <c r="S231" s="330"/>
      <c r="T231" s="330"/>
    </row>
    <row r="232" spans="1:20" s="29" customFormat="1" ht="30.75" x14ac:dyDescent="0.25">
      <c r="A232" s="32" t="s">
        <v>54</v>
      </c>
      <c r="B232" s="293" t="s">
        <v>218</v>
      </c>
      <c r="C232" s="23" t="s">
        <v>34</v>
      </c>
      <c r="D232" s="23" t="s">
        <v>17</v>
      </c>
      <c r="E232" s="36" t="s">
        <v>638</v>
      </c>
      <c r="F232" s="31">
        <v>600</v>
      </c>
      <c r="G232" s="260">
        <f>3224924-1127284.4-1516806</f>
        <v>580833.60000000009</v>
      </c>
      <c r="H232" s="260">
        <v>0</v>
      </c>
      <c r="I232" s="260">
        <v>0</v>
      </c>
      <c r="J232" s="248"/>
      <c r="K232" s="330"/>
      <c r="L232" s="330"/>
      <c r="M232" s="330"/>
      <c r="N232" s="330"/>
      <c r="O232" s="330"/>
      <c r="P232" s="330"/>
      <c r="Q232" s="330"/>
      <c r="R232" s="330"/>
      <c r="S232" s="330"/>
      <c r="T232" s="330"/>
    </row>
    <row r="233" spans="1:20" s="33" customFormat="1" x14ac:dyDescent="0.25">
      <c r="A233" s="235" t="s">
        <v>50</v>
      </c>
      <c r="B233" s="292">
        <v>701</v>
      </c>
      <c r="C233" s="23" t="s">
        <v>34</v>
      </c>
      <c r="D233" s="23" t="s">
        <v>17</v>
      </c>
      <c r="E233" s="36" t="s">
        <v>89</v>
      </c>
      <c r="F233" s="31"/>
      <c r="G233" s="260">
        <f>G234+G239</f>
        <v>536318492.27000004</v>
      </c>
      <c r="H233" s="260">
        <f t="shared" ref="H233:I233" si="86">H234+H239</f>
        <v>527384224.45999998</v>
      </c>
      <c r="I233" s="260">
        <f t="shared" si="86"/>
        <v>537241860.76999998</v>
      </c>
      <c r="J233" s="96"/>
      <c r="K233" s="332"/>
      <c r="L233" s="332"/>
      <c r="M233" s="332"/>
      <c r="N233" s="333"/>
      <c r="O233" s="333"/>
      <c r="P233" s="333"/>
      <c r="Q233" s="333"/>
      <c r="R233" s="333"/>
      <c r="S233" s="333"/>
      <c r="T233" s="333"/>
    </row>
    <row r="234" spans="1:20" s="33" customFormat="1" ht="45" x14ac:dyDescent="0.25">
      <c r="A234" s="235" t="s">
        <v>640</v>
      </c>
      <c r="B234" s="293" t="s">
        <v>218</v>
      </c>
      <c r="C234" s="23" t="s">
        <v>34</v>
      </c>
      <c r="D234" s="23" t="s">
        <v>17</v>
      </c>
      <c r="E234" s="36">
        <v>5840022002</v>
      </c>
      <c r="F234" s="31"/>
      <c r="G234" s="260">
        <f>SUM(G235:G238)</f>
        <v>530589292.27000004</v>
      </c>
      <c r="H234" s="260">
        <f t="shared" ref="H234:I234" si="87">SUM(H235:H238)</f>
        <v>523015450.26999998</v>
      </c>
      <c r="I234" s="260">
        <f t="shared" si="87"/>
        <v>532717455.61000001</v>
      </c>
      <c r="J234" s="96"/>
      <c r="K234" s="333"/>
      <c r="L234" s="333"/>
      <c r="M234" s="333"/>
      <c r="N234" s="333"/>
      <c r="O234" s="333"/>
      <c r="P234" s="333"/>
      <c r="Q234" s="333"/>
      <c r="R234" s="333"/>
      <c r="S234" s="333"/>
      <c r="T234" s="333"/>
    </row>
    <row r="235" spans="1:20" s="33" customFormat="1" ht="75.75" x14ac:dyDescent="0.25">
      <c r="A235" s="22" t="s">
        <v>22</v>
      </c>
      <c r="B235" s="292">
        <v>701</v>
      </c>
      <c r="C235" s="23" t="s">
        <v>34</v>
      </c>
      <c r="D235" s="23" t="s">
        <v>17</v>
      </c>
      <c r="E235" s="36">
        <v>5840022002</v>
      </c>
      <c r="F235" s="31">
        <v>100</v>
      </c>
      <c r="G235" s="261">
        <f>108771833.9+24452</f>
        <v>108796285.90000001</v>
      </c>
      <c r="H235" s="261">
        <v>111833533.09999999</v>
      </c>
      <c r="I235" s="261">
        <v>112903891.59</v>
      </c>
      <c r="J235" s="96"/>
      <c r="K235" s="333"/>
      <c r="L235" s="333"/>
      <c r="M235" s="333"/>
      <c r="N235" s="333"/>
      <c r="O235" s="333"/>
      <c r="P235" s="333"/>
      <c r="Q235" s="333"/>
      <c r="R235" s="333"/>
      <c r="S235" s="333"/>
      <c r="T235" s="333"/>
    </row>
    <row r="236" spans="1:20" s="33" customFormat="1" ht="30.75" x14ac:dyDescent="0.25">
      <c r="A236" s="22" t="s">
        <v>26</v>
      </c>
      <c r="B236" s="293" t="s">
        <v>218</v>
      </c>
      <c r="C236" s="23" t="s">
        <v>34</v>
      </c>
      <c r="D236" s="23" t="s">
        <v>17</v>
      </c>
      <c r="E236" s="36">
        <v>5840022002</v>
      </c>
      <c r="F236" s="31">
        <v>200</v>
      </c>
      <c r="G236" s="261">
        <f>87823811.84-150000-90000-243599.05-78400-12901.87-78400-65704.15-24452</f>
        <v>87080354.769999996</v>
      </c>
      <c r="H236" s="261">
        <v>81852600.780000001</v>
      </c>
      <c r="I236" s="261">
        <v>85018159.700000003</v>
      </c>
      <c r="J236" s="96"/>
      <c r="K236" s="333"/>
      <c r="L236" s="333"/>
      <c r="M236" s="333"/>
      <c r="N236" s="333"/>
      <c r="O236" s="333"/>
      <c r="P236" s="333"/>
      <c r="Q236" s="333"/>
      <c r="R236" s="333"/>
      <c r="S236" s="333"/>
      <c r="T236" s="333"/>
    </row>
    <row r="237" spans="1:20" s="33" customFormat="1" ht="30.75" x14ac:dyDescent="0.25">
      <c r="A237" s="32" t="s">
        <v>54</v>
      </c>
      <c r="B237" s="292">
        <v>701</v>
      </c>
      <c r="C237" s="23" t="s">
        <v>34</v>
      </c>
      <c r="D237" s="23" t="s">
        <v>17</v>
      </c>
      <c r="E237" s="36">
        <v>5840022002</v>
      </c>
      <c r="F237" s="31">
        <v>600</v>
      </c>
      <c r="G237" s="261">
        <f>325071758.6+182080+307469+66880+122510+1516806</f>
        <v>327267503.60000002</v>
      </c>
      <c r="H237" s="261">
        <v>322124168.38999999</v>
      </c>
      <c r="I237" s="261">
        <v>327590256.31999999</v>
      </c>
      <c r="J237" s="96"/>
      <c r="K237" s="333"/>
      <c r="L237" s="333"/>
      <c r="M237" s="333"/>
      <c r="N237" s="333"/>
      <c r="O237" s="333"/>
      <c r="P237" s="333"/>
      <c r="Q237" s="333"/>
      <c r="R237" s="333"/>
      <c r="S237" s="333"/>
      <c r="T237" s="333"/>
    </row>
    <row r="238" spans="1:20" s="33" customFormat="1" x14ac:dyDescent="0.25">
      <c r="A238" s="32" t="s">
        <v>28</v>
      </c>
      <c r="B238" s="292">
        <v>701</v>
      </c>
      <c r="C238" s="23" t="s">
        <v>34</v>
      </c>
      <c r="D238" s="23" t="s">
        <v>17</v>
      </c>
      <c r="E238" s="36">
        <v>5840022002</v>
      </c>
      <c r="F238" s="31">
        <v>800</v>
      </c>
      <c r="G238" s="261">
        <f>7205148+150000+90000</f>
        <v>7445148</v>
      </c>
      <c r="H238" s="261">
        <v>7205148</v>
      </c>
      <c r="I238" s="261">
        <v>7205148</v>
      </c>
      <c r="J238" s="96"/>
      <c r="K238" s="333"/>
      <c r="L238" s="333"/>
      <c r="M238" s="333"/>
      <c r="N238" s="333"/>
      <c r="O238" s="333"/>
      <c r="P238" s="333"/>
      <c r="Q238" s="333"/>
      <c r="R238" s="333"/>
      <c r="S238" s="333"/>
      <c r="T238" s="333"/>
    </row>
    <row r="239" spans="1:20" s="33" customFormat="1" ht="60.75" x14ac:dyDescent="0.25">
      <c r="A239" s="32" t="s">
        <v>642</v>
      </c>
      <c r="B239" s="293" t="s">
        <v>218</v>
      </c>
      <c r="C239" s="23" t="s">
        <v>34</v>
      </c>
      <c r="D239" s="23" t="s">
        <v>17</v>
      </c>
      <c r="E239" s="36" t="s">
        <v>641</v>
      </c>
      <c r="F239" s="31"/>
      <c r="G239" s="261">
        <f>SUM(G240:G241)</f>
        <v>5729200</v>
      </c>
      <c r="H239" s="261">
        <f t="shared" ref="H239:I239" si="88">SUM(H240:H241)</f>
        <v>4368774.1899999995</v>
      </c>
      <c r="I239" s="261">
        <f t="shared" si="88"/>
        <v>4524405.16</v>
      </c>
      <c r="J239" s="96"/>
      <c r="K239" s="333"/>
      <c r="L239" s="333"/>
      <c r="M239" s="333"/>
      <c r="N239" s="333"/>
      <c r="O239" s="333"/>
      <c r="P239" s="333"/>
      <c r="Q239" s="333"/>
      <c r="R239" s="333"/>
      <c r="S239" s="333"/>
      <c r="T239" s="333"/>
    </row>
    <row r="240" spans="1:20" s="33" customFormat="1" ht="30.75" x14ac:dyDescent="0.25">
      <c r="A240" s="32" t="s">
        <v>26</v>
      </c>
      <c r="B240" s="292">
        <v>701</v>
      </c>
      <c r="C240" s="23" t="s">
        <v>34</v>
      </c>
      <c r="D240" s="23" t="s">
        <v>17</v>
      </c>
      <c r="E240" s="36" t="s">
        <v>641</v>
      </c>
      <c r="F240" s="31">
        <v>200</v>
      </c>
      <c r="G240" s="261">
        <v>560749.01</v>
      </c>
      <c r="H240" s="261">
        <v>477999.87</v>
      </c>
      <c r="I240" s="261">
        <v>477999.87</v>
      </c>
      <c r="J240" s="96"/>
    </row>
    <row r="241" spans="1:10" s="33" customFormat="1" ht="30.75" x14ac:dyDescent="0.25">
      <c r="A241" s="32" t="s">
        <v>54</v>
      </c>
      <c r="B241" s="293" t="s">
        <v>218</v>
      </c>
      <c r="C241" s="23" t="s">
        <v>34</v>
      </c>
      <c r="D241" s="23" t="s">
        <v>17</v>
      </c>
      <c r="E241" s="36" t="s">
        <v>641</v>
      </c>
      <c r="F241" s="31">
        <v>600</v>
      </c>
      <c r="G241" s="261">
        <v>5168450.99</v>
      </c>
      <c r="H241" s="261">
        <v>3890774.32</v>
      </c>
      <c r="I241" s="261">
        <v>4046405.29</v>
      </c>
      <c r="J241" s="96"/>
    </row>
    <row r="242" spans="1:10" s="33" customFormat="1" ht="31.5" x14ac:dyDescent="0.25">
      <c r="A242" s="34" t="s">
        <v>45</v>
      </c>
      <c r="B242" s="292">
        <v>701</v>
      </c>
      <c r="C242" s="23" t="s">
        <v>34</v>
      </c>
      <c r="D242" s="23" t="s">
        <v>17</v>
      </c>
      <c r="E242" s="35" t="s">
        <v>46</v>
      </c>
      <c r="F242" s="30"/>
      <c r="G242" s="263">
        <f t="shared" ref="G242:I243" si="89">G243</f>
        <v>50000000</v>
      </c>
      <c r="H242" s="263">
        <f t="shared" si="89"/>
        <v>0</v>
      </c>
      <c r="I242" s="263">
        <f t="shared" si="89"/>
        <v>0</v>
      </c>
      <c r="J242" s="96"/>
    </row>
    <row r="243" spans="1:10" s="33" customFormat="1" x14ac:dyDescent="0.25">
      <c r="A243" s="32" t="s">
        <v>144</v>
      </c>
      <c r="B243" s="293" t="s">
        <v>218</v>
      </c>
      <c r="C243" s="23" t="s">
        <v>34</v>
      </c>
      <c r="D243" s="23" t="s">
        <v>17</v>
      </c>
      <c r="E243" s="36" t="s">
        <v>47</v>
      </c>
      <c r="F243" s="31"/>
      <c r="G243" s="261">
        <f>G244</f>
        <v>50000000</v>
      </c>
      <c r="H243" s="261">
        <f t="shared" si="89"/>
        <v>0</v>
      </c>
      <c r="I243" s="261">
        <f t="shared" si="89"/>
        <v>0</v>
      </c>
      <c r="J243" s="96"/>
    </row>
    <row r="244" spans="1:10" s="33" customFormat="1" ht="30.75" x14ac:dyDescent="0.25">
      <c r="A244" s="32" t="s">
        <v>588</v>
      </c>
      <c r="B244" s="292">
        <v>701</v>
      </c>
      <c r="C244" s="23" t="s">
        <v>34</v>
      </c>
      <c r="D244" s="23" t="s">
        <v>17</v>
      </c>
      <c r="E244" s="36" t="s">
        <v>592</v>
      </c>
      <c r="F244" s="31"/>
      <c r="G244" s="261">
        <f t="array" ref="G244">G245</f>
        <v>50000000</v>
      </c>
      <c r="H244" s="261">
        <f t="array" ref="H244">H245</f>
        <v>0</v>
      </c>
      <c r="I244" s="261">
        <f t="array" ref="I244">I245</f>
        <v>0</v>
      </c>
      <c r="J244" s="96"/>
    </row>
    <row r="245" spans="1:10" s="33" customFormat="1" ht="30.75" x14ac:dyDescent="0.25">
      <c r="A245" s="32" t="s">
        <v>48</v>
      </c>
      <c r="B245" s="293" t="s">
        <v>218</v>
      </c>
      <c r="C245" s="23" t="s">
        <v>34</v>
      </c>
      <c r="D245" s="23" t="s">
        <v>17</v>
      </c>
      <c r="E245" s="36" t="s">
        <v>592</v>
      </c>
      <c r="F245" s="31">
        <v>400</v>
      </c>
      <c r="G245" s="261">
        <v>50000000</v>
      </c>
      <c r="H245" s="261">
        <v>0</v>
      </c>
      <c r="I245" s="261">
        <v>0</v>
      </c>
      <c r="J245" s="96"/>
    </row>
    <row r="246" spans="1:10" s="33" customFormat="1" x14ac:dyDescent="0.25">
      <c r="A246" s="18" t="s">
        <v>18</v>
      </c>
      <c r="B246" s="292">
        <v>701</v>
      </c>
      <c r="C246" s="19" t="s">
        <v>34</v>
      </c>
      <c r="D246" s="19" t="s">
        <v>17</v>
      </c>
      <c r="E246" s="39" t="s">
        <v>19</v>
      </c>
      <c r="F246" s="31"/>
      <c r="G246" s="42">
        <f t="shared" ref="G246:I246" si="90">G247</f>
        <v>67739680.629999995</v>
      </c>
      <c r="H246" s="42">
        <f t="shared" si="90"/>
        <v>0</v>
      </c>
      <c r="I246" s="42">
        <f t="shared" si="90"/>
        <v>0</v>
      </c>
      <c r="J246" s="96"/>
    </row>
    <row r="247" spans="1:10" s="33" customFormat="1" x14ac:dyDescent="0.25">
      <c r="A247" s="22" t="s">
        <v>56</v>
      </c>
      <c r="B247" s="293" t="s">
        <v>218</v>
      </c>
      <c r="C247" s="23" t="s">
        <v>34</v>
      </c>
      <c r="D247" s="23" t="s">
        <v>17</v>
      </c>
      <c r="E247" s="40" t="s">
        <v>38</v>
      </c>
      <c r="F247" s="31"/>
      <c r="G247" s="28">
        <f>G252+G248</f>
        <v>67739680.629999995</v>
      </c>
      <c r="H247" s="28">
        <f t="shared" ref="H247:I247" si="91">H252+H248</f>
        <v>0</v>
      </c>
      <c r="I247" s="28">
        <f t="shared" si="91"/>
        <v>0</v>
      </c>
      <c r="J247" s="96"/>
    </row>
    <row r="248" spans="1:10" s="33" customFormat="1" ht="30.75" x14ac:dyDescent="0.25">
      <c r="A248" s="22" t="s">
        <v>166</v>
      </c>
      <c r="B248" s="292">
        <v>701</v>
      </c>
      <c r="C248" s="23" t="s">
        <v>34</v>
      </c>
      <c r="D248" s="23" t="s">
        <v>17</v>
      </c>
      <c r="E248" s="40" t="s">
        <v>167</v>
      </c>
      <c r="F248" s="31"/>
      <c r="G248" s="28">
        <f>SUM(G249:G251)</f>
        <v>17739680.629999999</v>
      </c>
      <c r="H248" s="28">
        <f t="shared" ref="H248:I248" si="92">SUM(H249:H251)</f>
        <v>0</v>
      </c>
      <c r="I248" s="28">
        <f t="shared" si="92"/>
        <v>0</v>
      </c>
      <c r="J248" s="96"/>
    </row>
    <row r="249" spans="1:10" s="33" customFormat="1" ht="75.75" x14ac:dyDescent="0.25">
      <c r="A249" s="22" t="s">
        <v>22</v>
      </c>
      <c r="B249" s="293" t="s">
        <v>218</v>
      </c>
      <c r="C249" s="23" t="s">
        <v>34</v>
      </c>
      <c r="D249" s="23" t="s">
        <v>17</v>
      </c>
      <c r="E249" s="40" t="s">
        <v>167</v>
      </c>
      <c r="F249" s="31">
        <v>100</v>
      </c>
      <c r="G249" s="28">
        <f>'Приложение 2'!F159</f>
        <v>500000</v>
      </c>
      <c r="H249" s="28">
        <f>'Приложение 2'!G159</f>
        <v>0</v>
      </c>
      <c r="I249" s="28">
        <f>'Приложение 2'!H159</f>
        <v>0</v>
      </c>
      <c r="J249" s="96"/>
    </row>
    <row r="250" spans="1:10" s="33" customFormat="1" ht="30.75" x14ac:dyDescent="0.25">
      <c r="A250" s="22" t="s">
        <v>26</v>
      </c>
      <c r="B250" s="292">
        <v>701</v>
      </c>
      <c r="C250" s="23" t="s">
        <v>34</v>
      </c>
      <c r="D250" s="23" t="s">
        <v>17</v>
      </c>
      <c r="E250" s="40" t="s">
        <v>167</v>
      </c>
      <c r="F250" s="31">
        <v>200</v>
      </c>
      <c r="G250" s="28">
        <f>'Приложение 2'!F160</f>
        <v>9825840.2799999993</v>
      </c>
      <c r="H250" s="28">
        <f>'Приложение 2'!G160</f>
        <v>0</v>
      </c>
      <c r="I250" s="28">
        <f>'Приложение 2'!H160</f>
        <v>0</v>
      </c>
      <c r="J250" s="96"/>
    </row>
    <row r="251" spans="1:10" s="33" customFormat="1" ht="30.75" x14ac:dyDescent="0.25">
      <c r="A251" s="22" t="s">
        <v>54</v>
      </c>
      <c r="B251" s="293" t="s">
        <v>218</v>
      </c>
      <c r="C251" s="23" t="s">
        <v>34</v>
      </c>
      <c r="D251" s="23" t="s">
        <v>17</v>
      </c>
      <c r="E251" s="40" t="s">
        <v>167</v>
      </c>
      <c r="F251" s="31">
        <v>600</v>
      </c>
      <c r="G251" s="28">
        <f>'Приложение 2'!F162</f>
        <v>7413840.3499999996</v>
      </c>
      <c r="H251" s="28">
        <f>'Приложение 2'!G162</f>
        <v>0</v>
      </c>
      <c r="I251" s="28">
        <f>'Приложение 2'!H162</f>
        <v>0</v>
      </c>
      <c r="J251" s="96"/>
    </row>
    <row r="252" spans="1:10" s="33" customFormat="1" ht="60.75" x14ac:dyDescent="0.25">
      <c r="A252" s="32" t="s">
        <v>538</v>
      </c>
      <c r="B252" s="292">
        <v>701</v>
      </c>
      <c r="C252" s="23" t="s">
        <v>34</v>
      </c>
      <c r="D252" s="23" t="s">
        <v>17</v>
      </c>
      <c r="E252" s="40" t="s">
        <v>537</v>
      </c>
      <c r="F252" s="31"/>
      <c r="G252" s="28">
        <f>SUM(G253:G255)</f>
        <v>50000000</v>
      </c>
      <c r="H252" s="28">
        <f>SUM(H253:H255)</f>
        <v>0</v>
      </c>
      <c r="I252" s="28">
        <f>SUM(I253:I255)</f>
        <v>0</v>
      </c>
      <c r="J252" s="96"/>
    </row>
    <row r="253" spans="1:10" s="33" customFormat="1" ht="30.75" hidden="1" x14ac:dyDescent="0.25">
      <c r="A253" s="22" t="s">
        <v>26</v>
      </c>
      <c r="B253" s="293" t="s">
        <v>218</v>
      </c>
      <c r="C253" s="23" t="s">
        <v>34</v>
      </c>
      <c r="D253" s="23" t="s">
        <v>17</v>
      </c>
      <c r="E253" s="40" t="s">
        <v>537</v>
      </c>
      <c r="F253" s="31">
        <v>200</v>
      </c>
      <c r="G253" s="28"/>
      <c r="H253" s="28"/>
      <c r="I253" s="28"/>
      <c r="J253" s="96"/>
    </row>
    <row r="254" spans="1:10" s="33" customFormat="1" ht="30.75" x14ac:dyDescent="0.25">
      <c r="A254" s="32" t="s">
        <v>48</v>
      </c>
      <c r="B254" s="292">
        <v>701</v>
      </c>
      <c r="C254" s="23" t="s">
        <v>34</v>
      </c>
      <c r="D254" s="23" t="s">
        <v>17</v>
      </c>
      <c r="E254" s="40" t="s">
        <v>537</v>
      </c>
      <c r="F254" s="31">
        <v>400</v>
      </c>
      <c r="G254" s="28">
        <f>'Приложение 2'!F164</f>
        <v>50000000</v>
      </c>
      <c r="H254" s="28">
        <f>'Приложение 2'!G164</f>
        <v>0</v>
      </c>
      <c r="I254" s="28">
        <f>'Приложение 2'!H164</f>
        <v>0</v>
      </c>
      <c r="J254" s="96"/>
    </row>
    <row r="255" spans="1:10" s="33" customFormat="1" ht="30.75" hidden="1" x14ac:dyDescent="0.25">
      <c r="A255" s="32" t="s">
        <v>54</v>
      </c>
      <c r="B255" s="292">
        <v>701</v>
      </c>
      <c r="C255" s="23" t="s">
        <v>34</v>
      </c>
      <c r="D255" s="23" t="s">
        <v>17</v>
      </c>
      <c r="E255" s="40" t="s">
        <v>537</v>
      </c>
      <c r="F255" s="31">
        <v>600</v>
      </c>
      <c r="G255" s="28"/>
      <c r="H255" s="28"/>
      <c r="I255" s="42"/>
      <c r="J255" s="96"/>
    </row>
    <row r="256" spans="1:10" s="33" customFormat="1" x14ac:dyDescent="0.25">
      <c r="A256" s="34" t="s">
        <v>94</v>
      </c>
      <c r="B256" s="293" t="s">
        <v>218</v>
      </c>
      <c r="C256" s="19" t="s">
        <v>34</v>
      </c>
      <c r="D256" s="19" t="s">
        <v>25</v>
      </c>
      <c r="E256" s="35"/>
      <c r="F256" s="30"/>
      <c r="G256" s="42">
        <f>G257+G266+G272+G276</f>
        <v>258690117.06000003</v>
      </c>
      <c r="H256" s="42">
        <f>H257+H266+H272+H276</f>
        <v>237315221.65000001</v>
      </c>
      <c r="I256" s="42">
        <f>I257+I266+I272+I276</f>
        <v>239124496.21999997</v>
      </c>
      <c r="J256" s="96"/>
    </row>
    <row r="257" spans="1:12" s="33" customFormat="1" x14ac:dyDescent="0.25">
      <c r="A257" s="34" t="s">
        <v>95</v>
      </c>
      <c r="B257" s="292">
        <v>701</v>
      </c>
      <c r="C257" s="19" t="s">
        <v>34</v>
      </c>
      <c r="D257" s="19" t="s">
        <v>25</v>
      </c>
      <c r="E257" s="35" t="s">
        <v>96</v>
      </c>
      <c r="F257" s="30"/>
      <c r="G257" s="42">
        <f>G261+G258</f>
        <v>122030868.87</v>
      </c>
      <c r="H257" s="42">
        <f>H261+H258</f>
        <v>123179470.81999999</v>
      </c>
      <c r="I257" s="42">
        <f>I261+I258</f>
        <v>123896057.92999999</v>
      </c>
      <c r="J257" s="96"/>
    </row>
    <row r="258" spans="1:12" s="29" customFormat="1" ht="30.75" x14ac:dyDescent="0.25">
      <c r="A258" s="32" t="s">
        <v>210</v>
      </c>
      <c r="B258" s="293" t="s">
        <v>218</v>
      </c>
      <c r="C258" s="23" t="s">
        <v>34</v>
      </c>
      <c r="D258" s="23" t="s">
        <v>25</v>
      </c>
      <c r="E258" s="36" t="s">
        <v>109</v>
      </c>
      <c r="F258" s="31"/>
      <c r="G258" s="261">
        <f>G259</f>
        <v>880000</v>
      </c>
      <c r="H258" s="261">
        <f>H259</f>
        <v>909039.99999999988</v>
      </c>
      <c r="I258" s="261">
        <f>I259</f>
        <v>939038.31999999983</v>
      </c>
      <c r="J258" s="248"/>
    </row>
    <row r="259" spans="1:12" s="29" customFormat="1" ht="30.75" x14ac:dyDescent="0.25">
      <c r="A259" s="32" t="s">
        <v>600</v>
      </c>
      <c r="B259" s="292">
        <v>701</v>
      </c>
      <c r="C259" s="23" t="s">
        <v>34</v>
      </c>
      <c r="D259" s="23" t="s">
        <v>25</v>
      </c>
      <c r="E259" s="36">
        <v>5030010010</v>
      </c>
      <c r="F259" s="31"/>
      <c r="G259" s="261">
        <f>G260</f>
        <v>880000</v>
      </c>
      <c r="H259" s="261">
        <f t="shared" ref="H259:I259" si="93">H260</f>
        <v>909039.99999999988</v>
      </c>
      <c r="I259" s="261">
        <f t="shared" si="93"/>
        <v>939038.31999999983</v>
      </c>
      <c r="J259" s="248"/>
    </row>
    <row r="260" spans="1:12" s="29" customFormat="1" ht="30.75" x14ac:dyDescent="0.25">
      <c r="A260" s="22" t="s">
        <v>26</v>
      </c>
      <c r="B260" s="293" t="s">
        <v>218</v>
      </c>
      <c r="C260" s="23" t="s">
        <v>34</v>
      </c>
      <c r="D260" s="23" t="s">
        <v>25</v>
      </c>
      <c r="E260" s="36">
        <v>5030010010</v>
      </c>
      <c r="F260" s="31">
        <v>200</v>
      </c>
      <c r="G260" s="261">
        <v>880000</v>
      </c>
      <c r="H260" s="261">
        <v>909039.99999999988</v>
      </c>
      <c r="I260" s="261">
        <v>939038.31999999983</v>
      </c>
      <c r="J260" s="248"/>
    </row>
    <row r="261" spans="1:12" s="33" customFormat="1" x14ac:dyDescent="0.25">
      <c r="A261" s="32" t="s">
        <v>97</v>
      </c>
      <c r="B261" s="292">
        <v>701</v>
      </c>
      <c r="C261" s="23" t="s">
        <v>34</v>
      </c>
      <c r="D261" s="23" t="s">
        <v>25</v>
      </c>
      <c r="E261" s="36" t="s">
        <v>98</v>
      </c>
      <c r="F261" s="31"/>
      <c r="G261" s="261">
        <f>G262</f>
        <v>121150868.87</v>
      </c>
      <c r="H261" s="261">
        <f t="shared" ref="H261:I261" si="94">H262</f>
        <v>122270430.81999999</v>
      </c>
      <c r="I261" s="261">
        <f t="shared" si="94"/>
        <v>122957019.61</v>
      </c>
      <c r="J261" s="96"/>
    </row>
    <row r="262" spans="1:12" s="33" customFormat="1" ht="45.75" x14ac:dyDescent="0.25">
      <c r="A262" s="32" t="s">
        <v>601</v>
      </c>
      <c r="B262" s="293" t="s">
        <v>218</v>
      </c>
      <c r="C262" s="23" t="s">
        <v>34</v>
      </c>
      <c r="D262" s="23" t="s">
        <v>25</v>
      </c>
      <c r="E262" s="36" t="s">
        <v>602</v>
      </c>
      <c r="F262" s="31"/>
      <c r="G262" s="261">
        <f>SUM(G263:G265)</f>
        <v>121150868.87</v>
      </c>
      <c r="H262" s="261">
        <f t="shared" ref="H262:I262" si="95">SUM(H263:H265)</f>
        <v>122270430.81999999</v>
      </c>
      <c r="I262" s="261">
        <f t="shared" si="95"/>
        <v>122957019.61</v>
      </c>
      <c r="J262" s="96"/>
    </row>
    <row r="263" spans="1:12" s="33" customFormat="1" ht="75.75" x14ac:dyDescent="0.25">
      <c r="A263" s="22" t="s">
        <v>22</v>
      </c>
      <c r="B263" s="292">
        <v>701</v>
      </c>
      <c r="C263" s="23" t="s">
        <v>34</v>
      </c>
      <c r="D263" s="23" t="s">
        <v>25</v>
      </c>
      <c r="E263" s="36" t="s">
        <v>602</v>
      </c>
      <c r="F263" s="31">
        <v>100</v>
      </c>
      <c r="G263" s="261">
        <v>112664408.05</v>
      </c>
      <c r="H263" s="261">
        <v>112905454.72</v>
      </c>
      <c r="I263" s="261">
        <v>113145887.81</v>
      </c>
      <c r="J263" s="96"/>
    </row>
    <row r="264" spans="1:12" s="33" customFormat="1" ht="30.75" x14ac:dyDescent="0.25">
      <c r="A264" s="22" t="s">
        <v>26</v>
      </c>
      <c r="B264" s="293" t="s">
        <v>218</v>
      </c>
      <c r="C264" s="23" t="s">
        <v>34</v>
      </c>
      <c r="D264" s="23" t="s">
        <v>25</v>
      </c>
      <c r="E264" s="36" t="s">
        <v>602</v>
      </c>
      <c r="F264" s="31">
        <v>200</v>
      </c>
      <c r="G264" s="261">
        <f>8364034.23</f>
        <v>8364034.2300000004</v>
      </c>
      <c r="H264" s="261">
        <v>9364976.0999999996</v>
      </c>
      <c r="I264" s="261">
        <v>9811131.8000000007</v>
      </c>
      <c r="J264" s="96"/>
    </row>
    <row r="265" spans="1:12" s="33" customFormat="1" x14ac:dyDescent="0.25">
      <c r="A265" s="32" t="s">
        <v>28</v>
      </c>
      <c r="B265" s="292">
        <v>701</v>
      </c>
      <c r="C265" s="23" t="s">
        <v>34</v>
      </c>
      <c r="D265" s="23" t="s">
        <v>25</v>
      </c>
      <c r="E265" s="36" t="s">
        <v>602</v>
      </c>
      <c r="F265" s="31">
        <v>800</v>
      </c>
      <c r="G265" s="261">
        <v>122426.59</v>
      </c>
      <c r="H265" s="261">
        <v>0</v>
      </c>
      <c r="I265" s="261">
        <v>0</v>
      </c>
      <c r="J265" s="96"/>
    </row>
    <row r="266" spans="1:12" s="33" customFormat="1" x14ac:dyDescent="0.25">
      <c r="A266" s="34" t="s">
        <v>87</v>
      </c>
      <c r="B266" s="293" t="s">
        <v>218</v>
      </c>
      <c r="C266" s="19" t="s">
        <v>34</v>
      </c>
      <c r="D266" s="19" t="s">
        <v>25</v>
      </c>
      <c r="E266" s="35" t="s">
        <v>88</v>
      </c>
      <c r="F266" s="30"/>
      <c r="G266" s="263">
        <f t="shared" ref="G266:I267" si="96">G267</f>
        <v>113412970.05000001</v>
      </c>
      <c r="H266" s="263">
        <f t="shared" si="96"/>
        <v>114135750.83000001</v>
      </c>
      <c r="I266" s="263">
        <f t="shared" si="96"/>
        <v>115228438.28999999</v>
      </c>
      <c r="J266" s="96"/>
    </row>
    <row r="267" spans="1:12" s="29" customFormat="1" x14ac:dyDescent="0.25">
      <c r="A267" s="235" t="s">
        <v>50</v>
      </c>
      <c r="B267" s="292">
        <v>701</v>
      </c>
      <c r="C267" s="23" t="s">
        <v>34</v>
      </c>
      <c r="D267" s="23" t="s">
        <v>25</v>
      </c>
      <c r="E267" s="36" t="s">
        <v>89</v>
      </c>
      <c r="F267" s="31"/>
      <c r="G267" s="260">
        <f t="shared" si="96"/>
        <v>113412970.05000001</v>
      </c>
      <c r="H267" s="260">
        <f t="shared" si="96"/>
        <v>114135750.83000001</v>
      </c>
      <c r="I267" s="260">
        <f t="shared" si="96"/>
        <v>115228438.28999999</v>
      </c>
      <c r="J267" s="248"/>
    </row>
    <row r="268" spans="1:12" s="29" customFormat="1" ht="45" x14ac:dyDescent="0.25">
      <c r="A268" s="235" t="s">
        <v>551</v>
      </c>
      <c r="B268" s="293" t="s">
        <v>218</v>
      </c>
      <c r="C268" s="23" t="s">
        <v>34</v>
      </c>
      <c r="D268" s="23" t="s">
        <v>25</v>
      </c>
      <c r="E268" s="36" t="s">
        <v>550</v>
      </c>
      <c r="F268" s="31"/>
      <c r="G268" s="260">
        <f>SUM(G269:G271)</f>
        <v>113412970.05000001</v>
      </c>
      <c r="H268" s="260">
        <f t="shared" ref="H268:I268" si="97">SUM(H269:H271)</f>
        <v>114135750.83000001</v>
      </c>
      <c r="I268" s="260">
        <f t="shared" si="97"/>
        <v>115228438.28999999</v>
      </c>
      <c r="J268" s="248"/>
    </row>
    <row r="269" spans="1:12" s="33" customFormat="1" ht="75.75" x14ac:dyDescent="0.25">
      <c r="A269" s="22" t="s">
        <v>22</v>
      </c>
      <c r="B269" s="292">
        <v>701</v>
      </c>
      <c r="C269" s="23" t="s">
        <v>34</v>
      </c>
      <c r="D269" s="23" t="s">
        <v>25</v>
      </c>
      <c r="E269" s="36" t="s">
        <v>550</v>
      </c>
      <c r="F269" s="31">
        <v>100</v>
      </c>
      <c r="G269" s="261">
        <f>98655590.12-2606.97</f>
        <v>98652983.150000006</v>
      </c>
      <c r="H269" s="261">
        <v>99131364.510000005</v>
      </c>
      <c r="I269" s="261">
        <v>99631364.519999996</v>
      </c>
      <c r="J269" s="96"/>
      <c r="K269" s="333"/>
    </row>
    <row r="270" spans="1:12" s="33" customFormat="1" ht="30.75" x14ac:dyDescent="0.25">
      <c r="A270" s="22" t="s">
        <v>26</v>
      </c>
      <c r="B270" s="293" t="s">
        <v>218</v>
      </c>
      <c r="C270" s="23" t="s">
        <v>34</v>
      </c>
      <c r="D270" s="23" t="s">
        <v>25</v>
      </c>
      <c r="E270" s="36" t="s">
        <v>550</v>
      </c>
      <c r="F270" s="31">
        <v>200</v>
      </c>
      <c r="G270" s="261">
        <f>13558212.93+830510+368657</f>
        <v>14757379.93</v>
      </c>
      <c r="H270" s="261">
        <v>15004386.32</v>
      </c>
      <c r="I270" s="261">
        <v>15597073.77</v>
      </c>
      <c r="J270" s="96"/>
      <c r="K270" s="333"/>
      <c r="L270" s="333"/>
    </row>
    <row r="271" spans="1:12" s="33" customFormat="1" x14ac:dyDescent="0.25">
      <c r="A271" s="22" t="s">
        <v>52</v>
      </c>
      <c r="B271" s="292">
        <v>702</v>
      </c>
      <c r="C271" s="23" t="s">
        <v>34</v>
      </c>
      <c r="D271" s="23" t="s">
        <v>25</v>
      </c>
      <c r="E271" s="36" t="s">
        <v>550</v>
      </c>
      <c r="F271" s="31">
        <v>300</v>
      </c>
      <c r="G271" s="261">
        <v>2606.9699999999998</v>
      </c>
      <c r="H271" s="261">
        <v>0</v>
      </c>
      <c r="I271" s="261">
        <v>0</v>
      </c>
      <c r="J271" s="96"/>
      <c r="K271" s="333"/>
    </row>
    <row r="272" spans="1:12" s="33" customFormat="1" ht="31.5" x14ac:dyDescent="0.25">
      <c r="A272" s="34" t="s">
        <v>45</v>
      </c>
      <c r="B272" s="292">
        <v>701</v>
      </c>
      <c r="C272" s="23" t="s">
        <v>34</v>
      </c>
      <c r="D272" s="23" t="s">
        <v>25</v>
      </c>
      <c r="E272" s="35" t="s">
        <v>46</v>
      </c>
      <c r="F272" s="31"/>
      <c r="G272" s="263">
        <f>G273</f>
        <v>1445089.65</v>
      </c>
      <c r="H272" s="263">
        <f>H273</f>
        <v>0</v>
      </c>
      <c r="I272" s="263">
        <f>I273</f>
        <v>0</v>
      </c>
      <c r="J272" s="96"/>
      <c r="K272" s="333"/>
    </row>
    <row r="273" spans="1:11" s="33" customFormat="1" x14ac:dyDescent="0.25">
      <c r="A273" s="32" t="s">
        <v>43</v>
      </c>
      <c r="B273" s="292">
        <v>701</v>
      </c>
      <c r="C273" s="23" t="s">
        <v>34</v>
      </c>
      <c r="D273" s="23" t="s">
        <v>25</v>
      </c>
      <c r="E273" s="36" t="s">
        <v>47</v>
      </c>
      <c r="F273" s="31"/>
      <c r="G273" s="261">
        <f>SUM(G274:G275)</f>
        <v>1445089.65</v>
      </c>
      <c r="H273" s="261">
        <f>SUM(H274:H275)</f>
        <v>0</v>
      </c>
      <c r="I273" s="261">
        <f>SUM(I274:I275)</f>
        <v>0</v>
      </c>
      <c r="J273" s="96"/>
    </row>
    <row r="274" spans="1:11" s="33" customFormat="1" ht="30.75" x14ac:dyDescent="0.25">
      <c r="A274" s="22" t="s">
        <v>26</v>
      </c>
      <c r="B274" s="293" t="s">
        <v>218</v>
      </c>
      <c r="C274" s="23" t="s">
        <v>34</v>
      </c>
      <c r="D274" s="23" t="s">
        <v>25</v>
      </c>
      <c r="E274" s="36" t="s">
        <v>47</v>
      </c>
      <c r="F274" s="31">
        <v>200</v>
      </c>
      <c r="G274" s="261">
        <v>0</v>
      </c>
      <c r="H274" s="261">
        <v>0</v>
      </c>
      <c r="I274" s="263">
        <v>0</v>
      </c>
      <c r="J274" s="96"/>
    </row>
    <row r="275" spans="1:11" s="33" customFormat="1" ht="30.75" x14ac:dyDescent="0.25">
      <c r="A275" s="32" t="s">
        <v>48</v>
      </c>
      <c r="B275" s="292">
        <v>701</v>
      </c>
      <c r="C275" s="23" t="s">
        <v>34</v>
      </c>
      <c r="D275" s="23" t="s">
        <v>25</v>
      </c>
      <c r="E275" s="36" t="s">
        <v>47</v>
      </c>
      <c r="F275" s="31">
        <v>400</v>
      </c>
      <c r="G275" s="261">
        <v>1445089.65</v>
      </c>
      <c r="H275" s="261">
        <v>0</v>
      </c>
      <c r="I275" s="263">
        <v>0</v>
      </c>
      <c r="J275" s="96"/>
      <c r="K275" s="333"/>
    </row>
    <row r="276" spans="1:11" s="33" customFormat="1" x14ac:dyDescent="0.25">
      <c r="A276" s="34" t="s">
        <v>18</v>
      </c>
      <c r="B276" s="293" t="s">
        <v>218</v>
      </c>
      <c r="C276" s="19" t="s">
        <v>34</v>
      </c>
      <c r="D276" s="19" t="s">
        <v>25</v>
      </c>
      <c r="E276" s="35" t="s">
        <v>19</v>
      </c>
      <c r="F276" s="30"/>
      <c r="G276" s="42">
        <f>G277</f>
        <v>21801188.489999998</v>
      </c>
      <c r="H276" s="42">
        <f t="shared" ref="H276:I278" si="98">H277</f>
        <v>0</v>
      </c>
      <c r="I276" s="42">
        <f t="shared" si="98"/>
        <v>0</v>
      </c>
      <c r="J276" s="96"/>
    </row>
    <row r="277" spans="1:11" s="33" customFormat="1" x14ac:dyDescent="0.25">
      <c r="A277" s="32" t="s">
        <v>56</v>
      </c>
      <c r="B277" s="292">
        <v>701</v>
      </c>
      <c r="C277" s="23" t="s">
        <v>34</v>
      </c>
      <c r="D277" s="23" t="s">
        <v>25</v>
      </c>
      <c r="E277" s="36" t="s">
        <v>38</v>
      </c>
      <c r="F277" s="31"/>
      <c r="G277" s="28">
        <f>G278</f>
        <v>21801188.489999998</v>
      </c>
      <c r="H277" s="28">
        <f t="shared" si="98"/>
        <v>0</v>
      </c>
      <c r="I277" s="28">
        <f t="shared" si="98"/>
        <v>0</v>
      </c>
      <c r="J277" s="96"/>
    </row>
    <row r="278" spans="1:11" s="33" customFormat="1" ht="30.75" x14ac:dyDescent="0.25">
      <c r="A278" s="32" t="s">
        <v>166</v>
      </c>
      <c r="B278" s="293" t="s">
        <v>218</v>
      </c>
      <c r="C278" s="23" t="s">
        <v>34</v>
      </c>
      <c r="D278" s="23" t="s">
        <v>25</v>
      </c>
      <c r="E278" s="36" t="s">
        <v>167</v>
      </c>
      <c r="F278" s="31"/>
      <c r="G278" s="28">
        <f>G279</f>
        <v>21801188.489999998</v>
      </c>
      <c r="H278" s="28">
        <f t="shared" si="98"/>
        <v>0</v>
      </c>
      <c r="I278" s="28">
        <f t="shared" si="98"/>
        <v>0</v>
      </c>
      <c r="J278" s="96"/>
    </row>
    <row r="279" spans="1:11" s="33" customFormat="1" ht="30.75" x14ac:dyDescent="0.25">
      <c r="A279" s="32" t="s">
        <v>26</v>
      </c>
      <c r="B279" s="292">
        <v>701</v>
      </c>
      <c r="C279" s="23" t="s">
        <v>34</v>
      </c>
      <c r="D279" s="23" t="s">
        <v>25</v>
      </c>
      <c r="E279" s="36" t="s">
        <v>167</v>
      </c>
      <c r="F279" s="31">
        <v>200</v>
      </c>
      <c r="G279" s="28">
        <f>'Приложение 2'!F169</f>
        <v>21801188.489999998</v>
      </c>
      <c r="H279" s="28">
        <f>'Приложение 2'!G169</f>
        <v>0</v>
      </c>
      <c r="I279" s="28">
        <f>'Приложение 2'!H169</f>
        <v>0</v>
      </c>
      <c r="J279" s="96"/>
    </row>
    <row r="280" spans="1:11" s="33" customFormat="1" ht="31.5" x14ac:dyDescent="0.25">
      <c r="A280" s="18" t="s">
        <v>536</v>
      </c>
      <c r="B280" s="293" t="s">
        <v>218</v>
      </c>
      <c r="C280" s="19" t="s">
        <v>34</v>
      </c>
      <c r="D280" s="19" t="s">
        <v>63</v>
      </c>
      <c r="E280" s="39"/>
      <c r="F280" s="30"/>
      <c r="G280" s="42">
        <f>G281+G289+G293+G297+G308+G312+G316</f>
        <v>4929224.01</v>
      </c>
      <c r="H280" s="42">
        <f>H281+H289+H293+H297+H308+H312+H316</f>
        <v>4597115.7699999996</v>
      </c>
      <c r="I280" s="42">
        <f>I281+I289+I293+I297+I308+I312+I316</f>
        <v>4754320.9000000004</v>
      </c>
      <c r="J280" s="96"/>
    </row>
    <row r="281" spans="1:11" s="33" customFormat="1" x14ac:dyDescent="0.25">
      <c r="A281" s="34" t="s">
        <v>95</v>
      </c>
      <c r="B281" s="292">
        <v>701</v>
      </c>
      <c r="C281" s="19" t="s">
        <v>34</v>
      </c>
      <c r="D281" s="19" t="s">
        <v>63</v>
      </c>
      <c r="E281" s="35" t="s">
        <v>96</v>
      </c>
      <c r="F281" s="31"/>
      <c r="G281" s="261">
        <f t="shared" ref="G281:I281" si="99">G282</f>
        <v>342000</v>
      </c>
      <c r="H281" s="261">
        <f t="shared" si="99"/>
        <v>360810</v>
      </c>
      <c r="I281" s="261">
        <f t="shared" si="99"/>
        <v>379572.12</v>
      </c>
      <c r="J281" s="96"/>
    </row>
    <row r="282" spans="1:11" s="33" customFormat="1" x14ac:dyDescent="0.25">
      <c r="A282" s="32" t="s">
        <v>50</v>
      </c>
      <c r="B282" s="293" t="s">
        <v>218</v>
      </c>
      <c r="C282" s="23" t="s">
        <v>34</v>
      </c>
      <c r="D282" s="23" t="s">
        <v>63</v>
      </c>
      <c r="E282" s="36" t="s">
        <v>98</v>
      </c>
      <c r="F282" s="31"/>
      <c r="G282" s="261">
        <f>G283+G285+G287</f>
        <v>342000</v>
      </c>
      <c r="H282" s="261">
        <f t="shared" ref="H282:I282" si="100">H283+H285+H287</f>
        <v>360810</v>
      </c>
      <c r="I282" s="261">
        <f t="shared" si="100"/>
        <v>379572.12</v>
      </c>
      <c r="J282" s="96"/>
    </row>
    <row r="283" spans="1:11" s="33" customFormat="1" ht="30.75" x14ac:dyDescent="0.25">
      <c r="A283" s="32" t="s">
        <v>603</v>
      </c>
      <c r="B283" s="292">
        <v>701</v>
      </c>
      <c r="C283" s="23" t="s">
        <v>34</v>
      </c>
      <c r="D283" s="23" t="s">
        <v>63</v>
      </c>
      <c r="E283" s="36" t="s">
        <v>606</v>
      </c>
      <c r="F283" s="31"/>
      <c r="G283" s="261">
        <f>G284</f>
        <v>183000</v>
      </c>
      <c r="H283" s="261">
        <f t="shared" ref="H283:I283" si="101">H284</f>
        <v>193065</v>
      </c>
      <c r="I283" s="261">
        <f t="shared" si="101"/>
        <v>203104.38</v>
      </c>
      <c r="J283" s="96"/>
    </row>
    <row r="284" spans="1:11" s="33" customFormat="1" ht="30.75" x14ac:dyDescent="0.25">
      <c r="A284" s="22" t="s">
        <v>26</v>
      </c>
      <c r="B284" s="293" t="s">
        <v>218</v>
      </c>
      <c r="C284" s="23" t="s">
        <v>34</v>
      </c>
      <c r="D284" s="23" t="s">
        <v>63</v>
      </c>
      <c r="E284" s="36" t="s">
        <v>606</v>
      </c>
      <c r="F284" s="31">
        <v>200</v>
      </c>
      <c r="G284" s="261">
        <v>183000</v>
      </c>
      <c r="H284" s="261">
        <v>193065</v>
      </c>
      <c r="I284" s="261">
        <v>203104.38</v>
      </c>
      <c r="J284" s="96"/>
    </row>
    <row r="285" spans="1:11" s="33" customFormat="1" ht="45.75" x14ac:dyDescent="0.25">
      <c r="A285" s="32" t="s">
        <v>601</v>
      </c>
      <c r="B285" s="292">
        <v>701</v>
      </c>
      <c r="C285" s="23" t="s">
        <v>34</v>
      </c>
      <c r="D285" s="23" t="s">
        <v>63</v>
      </c>
      <c r="E285" s="36" t="s">
        <v>602</v>
      </c>
      <c r="F285" s="31"/>
      <c r="G285" s="261">
        <f>G286</f>
        <v>47000</v>
      </c>
      <c r="H285" s="261">
        <f t="shared" ref="H285:I285" si="102">H286</f>
        <v>49585</v>
      </c>
      <c r="I285" s="261">
        <f t="shared" si="102"/>
        <v>52163.420000000006</v>
      </c>
      <c r="J285" s="96"/>
    </row>
    <row r="286" spans="1:11" s="33" customFormat="1" ht="30.75" x14ac:dyDescent="0.25">
      <c r="A286" s="22" t="s">
        <v>26</v>
      </c>
      <c r="B286" s="293" t="s">
        <v>218</v>
      </c>
      <c r="C286" s="23" t="s">
        <v>34</v>
      </c>
      <c r="D286" s="23" t="s">
        <v>63</v>
      </c>
      <c r="E286" s="36" t="s">
        <v>602</v>
      </c>
      <c r="F286" s="31">
        <v>200</v>
      </c>
      <c r="G286" s="261">
        <v>47000</v>
      </c>
      <c r="H286" s="261">
        <v>49585</v>
      </c>
      <c r="I286" s="261">
        <v>52163.420000000006</v>
      </c>
      <c r="J286" s="96"/>
    </row>
    <row r="287" spans="1:11" s="33" customFormat="1" ht="35.25" customHeight="1" x14ac:dyDescent="0.25">
      <c r="A287" s="22" t="s">
        <v>607</v>
      </c>
      <c r="B287" s="292">
        <v>701</v>
      </c>
      <c r="C287" s="23" t="s">
        <v>34</v>
      </c>
      <c r="D287" s="23" t="s">
        <v>63</v>
      </c>
      <c r="E287" s="36" t="s">
        <v>608</v>
      </c>
      <c r="F287" s="31"/>
      <c r="G287" s="261">
        <f>G288</f>
        <v>112000</v>
      </c>
      <c r="H287" s="261">
        <f t="shared" ref="H287:I287" si="103">H288</f>
        <v>118160</v>
      </c>
      <c r="I287" s="261">
        <f t="shared" si="103"/>
        <v>124304.32000000001</v>
      </c>
      <c r="J287" s="96"/>
    </row>
    <row r="288" spans="1:11" s="33" customFormat="1" ht="35.25" customHeight="1" x14ac:dyDescent="0.25">
      <c r="A288" s="22" t="s">
        <v>26</v>
      </c>
      <c r="B288" s="293" t="s">
        <v>218</v>
      </c>
      <c r="C288" s="23" t="s">
        <v>34</v>
      </c>
      <c r="D288" s="23" t="s">
        <v>63</v>
      </c>
      <c r="E288" s="36" t="s">
        <v>608</v>
      </c>
      <c r="F288" s="31">
        <v>200</v>
      </c>
      <c r="G288" s="261">
        <v>112000</v>
      </c>
      <c r="H288" s="261">
        <v>118160</v>
      </c>
      <c r="I288" s="261">
        <v>124304.32000000001</v>
      </c>
      <c r="J288" s="96"/>
    </row>
    <row r="289" spans="1:15" s="33" customFormat="1" ht="47.25" x14ac:dyDescent="0.25">
      <c r="A289" s="34" t="s">
        <v>100</v>
      </c>
      <c r="B289" s="292">
        <v>701</v>
      </c>
      <c r="C289" s="19" t="s">
        <v>34</v>
      </c>
      <c r="D289" s="19" t="s">
        <v>63</v>
      </c>
      <c r="E289" s="35" t="s">
        <v>101</v>
      </c>
      <c r="F289" s="30"/>
      <c r="G289" s="263">
        <f>G290</f>
        <v>144000</v>
      </c>
      <c r="H289" s="263">
        <f t="shared" ref="H289:I291" si="104">H290</f>
        <v>149760</v>
      </c>
      <c r="I289" s="263">
        <f t="shared" si="104"/>
        <v>155750.39999999999</v>
      </c>
      <c r="J289" s="96"/>
    </row>
    <row r="290" spans="1:15" s="33" customFormat="1" x14ac:dyDescent="0.25">
      <c r="A290" s="105" t="s">
        <v>50</v>
      </c>
      <c r="B290" s="292">
        <v>701</v>
      </c>
      <c r="C290" s="23" t="s">
        <v>34</v>
      </c>
      <c r="D290" s="23" t="s">
        <v>63</v>
      </c>
      <c r="E290" s="23" t="s">
        <v>103</v>
      </c>
      <c r="F290" s="31"/>
      <c r="G290" s="261">
        <f>G291</f>
        <v>144000</v>
      </c>
      <c r="H290" s="261">
        <f t="shared" si="104"/>
        <v>149760</v>
      </c>
      <c r="I290" s="261">
        <f t="shared" si="104"/>
        <v>155750.39999999999</v>
      </c>
      <c r="J290" s="96"/>
    </row>
    <row r="291" spans="1:15" s="33" customFormat="1" ht="30.75" x14ac:dyDescent="0.25">
      <c r="A291" s="105" t="s">
        <v>221</v>
      </c>
      <c r="B291" s="293" t="s">
        <v>218</v>
      </c>
      <c r="C291" s="23" t="s">
        <v>34</v>
      </c>
      <c r="D291" s="23" t="s">
        <v>63</v>
      </c>
      <c r="E291" s="23">
        <v>5240011600</v>
      </c>
      <c r="F291" s="31"/>
      <c r="G291" s="261">
        <f>G292</f>
        <v>144000</v>
      </c>
      <c r="H291" s="261">
        <f t="shared" si="104"/>
        <v>149760</v>
      </c>
      <c r="I291" s="261">
        <f t="shared" si="104"/>
        <v>155750.39999999999</v>
      </c>
      <c r="J291" s="96"/>
    </row>
    <row r="292" spans="1:15" s="33" customFormat="1" ht="30.75" x14ac:dyDescent="0.25">
      <c r="A292" s="22" t="s">
        <v>26</v>
      </c>
      <c r="B292" s="292">
        <v>701</v>
      </c>
      <c r="C292" s="23" t="s">
        <v>34</v>
      </c>
      <c r="D292" s="23" t="s">
        <v>63</v>
      </c>
      <c r="E292" s="40">
        <v>5240011600</v>
      </c>
      <c r="F292" s="31">
        <v>200</v>
      </c>
      <c r="G292" s="261">
        <v>144000</v>
      </c>
      <c r="H292" s="261">
        <v>149760</v>
      </c>
      <c r="I292" s="261">
        <v>155750.39999999999</v>
      </c>
      <c r="J292" s="96"/>
    </row>
    <row r="293" spans="1:15" s="33" customFormat="1" ht="31.5" x14ac:dyDescent="0.25">
      <c r="A293" s="18" t="s">
        <v>134</v>
      </c>
      <c r="B293" s="293" t="s">
        <v>218</v>
      </c>
      <c r="C293" s="19" t="s">
        <v>34</v>
      </c>
      <c r="D293" s="19" t="s">
        <v>63</v>
      </c>
      <c r="E293" s="19" t="s">
        <v>135</v>
      </c>
      <c r="F293" s="30"/>
      <c r="G293" s="263">
        <f>G294</f>
        <v>273114.02</v>
      </c>
      <c r="H293" s="263">
        <f t="shared" ref="H293:I295" si="105">H294</f>
        <v>39366.29</v>
      </c>
      <c r="I293" s="263">
        <f t="shared" si="105"/>
        <v>41413.339999999997</v>
      </c>
      <c r="J293" s="96"/>
    </row>
    <row r="294" spans="1:15" s="33" customFormat="1" x14ac:dyDescent="0.25">
      <c r="A294" s="22" t="s">
        <v>50</v>
      </c>
      <c r="B294" s="292">
        <v>701</v>
      </c>
      <c r="C294" s="23" t="s">
        <v>34</v>
      </c>
      <c r="D294" s="23" t="s">
        <v>63</v>
      </c>
      <c r="E294" s="23" t="s">
        <v>137</v>
      </c>
      <c r="F294" s="31"/>
      <c r="G294" s="261">
        <f>G295</f>
        <v>273114.02</v>
      </c>
      <c r="H294" s="261">
        <f t="shared" si="105"/>
        <v>39366.29</v>
      </c>
      <c r="I294" s="261">
        <f t="shared" si="105"/>
        <v>41413.339999999997</v>
      </c>
      <c r="J294" s="96"/>
    </row>
    <row r="295" spans="1:15" s="33" customFormat="1" ht="30.75" x14ac:dyDescent="0.25">
      <c r="A295" s="22" t="s">
        <v>165</v>
      </c>
      <c r="B295" s="293" t="s">
        <v>218</v>
      </c>
      <c r="C295" s="23" t="s">
        <v>34</v>
      </c>
      <c r="D295" s="23" t="s">
        <v>63</v>
      </c>
      <c r="E295" s="23">
        <v>5740022001</v>
      </c>
      <c r="F295" s="31"/>
      <c r="G295" s="261">
        <f>G296</f>
        <v>273114.02</v>
      </c>
      <c r="H295" s="261">
        <f t="shared" si="105"/>
        <v>39366.29</v>
      </c>
      <c r="I295" s="261">
        <f t="shared" si="105"/>
        <v>41413.339999999997</v>
      </c>
      <c r="J295" s="96"/>
    </row>
    <row r="296" spans="1:15" s="33" customFormat="1" ht="30.75" x14ac:dyDescent="0.25">
      <c r="A296" s="22" t="s">
        <v>26</v>
      </c>
      <c r="B296" s="292">
        <v>701</v>
      </c>
      <c r="C296" s="23" t="s">
        <v>34</v>
      </c>
      <c r="D296" s="23" t="s">
        <v>63</v>
      </c>
      <c r="E296" s="40">
        <v>5740022001</v>
      </c>
      <c r="F296" s="31">
        <v>200</v>
      </c>
      <c r="G296" s="261">
        <v>273114.02</v>
      </c>
      <c r="H296" s="261">
        <v>39366.29</v>
      </c>
      <c r="I296" s="261">
        <v>41413.339999999997</v>
      </c>
      <c r="J296" s="96"/>
    </row>
    <row r="297" spans="1:15" s="33" customFormat="1" x14ac:dyDescent="0.25">
      <c r="A297" s="34" t="s">
        <v>87</v>
      </c>
      <c r="B297" s="293" t="s">
        <v>218</v>
      </c>
      <c r="C297" s="19" t="s">
        <v>34</v>
      </c>
      <c r="D297" s="19" t="s">
        <v>63</v>
      </c>
      <c r="E297" s="35" t="s">
        <v>88</v>
      </c>
      <c r="F297" s="30"/>
      <c r="G297" s="263">
        <f>G298</f>
        <v>1636537.68</v>
      </c>
      <c r="H297" s="263">
        <f>H298</f>
        <v>1440644.85</v>
      </c>
      <c r="I297" s="263">
        <f>I298</f>
        <v>1498271.1199999999</v>
      </c>
      <c r="J297" s="96"/>
    </row>
    <row r="298" spans="1:15" s="33" customFormat="1" x14ac:dyDescent="0.25">
      <c r="A298" s="235" t="s">
        <v>50</v>
      </c>
      <c r="B298" s="292">
        <v>701</v>
      </c>
      <c r="C298" s="23" t="s">
        <v>34</v>
      </c>
      <c r="D298" s="23" t="s">
        <v>63</v>
      </c>
      <c r="E298" s="36" t="s">
        <v>89</v>
      </c>
      <c r="F298" s="31"/>
      <c r="G298" s="261">
        <f>G299+G301+G304+G306</f>
        <v>1636537.68</v>
      </c>
      <c r="H298" s="261">
        <f t="shared" ref="H298:I298" si="106">H299+H301+H304+H306</f>
        <v>1440644.85</v>
      </c>
      <c r="I298" s="261">
        <f t="shared" si="106"/>
        <v>1498271.1199999999</v>
      </c>
      <c r="J298" s="96"/>
    </row>
    <row r="299" spans="1:15" s="33" customFormat="1" ht="30" x14ac:dyDescent="0.25">
      <c r="A299" s="235" t="s">
        <v>634</v>
      </c>
      <c r="B299" s="293" t="s">
        <v>218</v>
      </c>
      <c r="C299" s="23" t="s">
        <v>34</v>
      </c>
      <c r="D299" s="23" t="s">
        <v>63</v>
      </c>
      <c r="E299" s="36">
        <v>5840022001</v>
      </c>
      <c r="F299" s="31"/>
      <c r="G299" s="261">
        <f>G300</f>
        <v>806540.48</v>
      </c>
      <c r="H299" s="261">
        <f t="shared" ref="H299:I299" si="107">H300</f>
        <v>835473.71000000008</v>
      </c>
      <c r="I299" s="261">
        <f t="shared" si="107"/>
        <v>868893.7</v>
      </c>
      <c r="J299" s="96"/>
    </row>
    <row r="300" spans="1:15" s="33" customFormat="1" ht="30" x14ac:dyDescent="0.25">
      <c r="A300" s="235" t="s">
        <v>26</v>
      </c>
      <c r="B300" s="292">
        <v>701</v>
      </c>
      <c r="C300" s="23" t="s">
        <v>34</v>
      </c>
      <c r="D300" s="23" t="s">
        <v>63</v>
      </c>
      <c r="E300" s="36">
        <v>5840022001</v>
      </c>
      <c r="F300" s="31">
        <v>200</v>
      </c>
      <c r="G300" s="261">
        <f>803340.48+3200</f>
        <v>806540.48</v>
      </c>
      <c r="H300" s="261">
        <v>835473.71000000008</v>
      </c>
      <c r="I300" s="261">
        <v>868893.7</v>
      </c>
      <c r="J300" s="96"/>
      <c r="K300" s="333"/>
      <c r="L300" s="333"/>
      <c r="M300" s="333"/>
      <c r="N300" s="333"/>
      <c r="O300" s="333"/>
    </row>
    <row r="301" spans="1:15" s="33" customFormat="1" ht="45" x14ac:dyDescent="0.25">
      <c r="A301" s="235" t="s">
        <v>640</v>
      </c>
      <c r="B301" s="293" t="s">
        <v>218</v>
      </c>
      <c r="C301" s="23" t="s">
        <v>34</v>
      </c>
      <c r="D301" s="23" t="s">
        <v>63</v>
      </c>
      <c r="E301" s="36">
        <v>5840022002</v>
      </c>
      <c r="F301" s="31"/>
      <c r="G301" s="261">
        <f>SUM(G302:G303)</f>
        <v>692697.2</v>
      </c>
      <c r="H301" s="261">
        <f t="shared" ref="H301:I301" si="108">SUM(H302:H303)</f>
        <v>462379.14</v>
      </c>
      <c r="I301" s="261">
        <f t="shared" si="108"/>
        <v>480873.74</v>
      </c>
      <c r="J301" s="96"/>
      <c r="K301" s="333"/>
      <c r="L301" s="333"/>
      <c r="M301" s="333"/>
      <c r="N301" s="333"/>
      <c r="O301" s="333"/>
    </row>
    <row r="302" spans="1:15" s="33" customFormat="1" ht="30.75" x14ac:dyDescent="0.25">
      <c r="A302" s="22" t="s">
        <v>26</v>
      </c>
      <c r="B302" s="292">
        <v>701</v>
      </c>
      <c r="C302" s="23" t="s">
        <v>34</v>
      </c>
      <c r="D302" s="23" t="s">
        <v>63</v>
      </c>
      <c r="E302" s="36">
        <v>5840022002</v>
      </c>
      <c r="F302" s="31">
        <v>200</v>
      </c>
      <c r="G302" s="261">
        <f>275091.18+78400+12901.87+78400+65704.15</f>
        <v>510497.19999999995</v>
      </c>
      <c r="H302" s="261">
        <v>272891.14</v>
      </c>
      <c r="I302" s="261">
        <v>283806.78000000003</v>
      </c>
      <c r="J302" s="96"/>
      <c r="K302" s="333"/>
      <c r="L302" s="333"/>
      <c r="M302" s="333"/>
      <c r="N302" s="333"/>
      <c r="O302" s="333"/>
    </row>
    <row r="303" spans="1:15" s="33" customFormat="1" ht="30.75" x14ac:dyDescent="0.25">
      <c r="A303" s="32" t="s">
        <v>54</v>
      </c>
      <c r="B303" s="293" t="s">
        <v>218</v>
      </c>
      <c r="C303" s="23" t="s">
        <v>34</v>
      </c>
      <c r="D303" s="23" t="s">
        <v>63</v>
      </c>
      <c r="E303" s="36">
        <v>5840022002</v>
      </c>
      <c r="F303" s="31">
        <v>600</v>
      </c>
      <c r="G303" s="261">
        <v>182200</v>
      </c>
      <c r="H303" s="261">
        <v>189488</v>
      </c>
      <c r="I303" s="261">
        <v>197066.96</v>
      </c>
      <c r="J303" s="96"/>
    </row>
    <row r="304" spans="1:15" s="33" customFormat="1" ht="45.75" x14ac:dyDescent="0.25">
      <c r="A304" s="32" t="s">
        <v>551</v>
      </c>
      <c r="B304" s="292">
        <v>701</v>
      </c>
      <c r="C304" s="23" t="s">
        <v>34</v>
      </c>
      <c r="D304" s="23" t="s">
        <v>63</v>
      </c>
      <c r="E304" s="36" t="s">
        <v>550</v>
      </c>
      <c r="F304" s="31"/>
      <c r="G304" s="261">
        <f>G305</f>
        <v>97300</v>
      </c>
      <c r="H304" s="261">
        <f t="shared" ref="H304:I304" si="109">H305</f>
        <v>101192</v>
      </c>
      <c r="I304" s="261">
        <f t="shared" si="109"/>
        <v>105239.67999999999</v>
      </c>
      <c r="J304" s="96"/>
      <c r="L304" s="257"/>
      <c r="M304" s="257"/>
      <c r="N304" s="257"/>
    </row>
    <row r="305" spans="1:13" s="33" customFormat="1" ht="30.75" x14ac:dyDescent="0.25">
      <c r="A305" s="32" t="s">
        <v>26</v>
      </c>
      <c r="B305" s="293" t="s">
        <v>218</v>
      </c>
      <c r="C305" s="23" t="s">
        <v>34</v>
      </c>
      <c r="D305" s="23" t="s">
        <v>63</v>
      </c>
      <c r="E305" s="36" t="s">
        <v>550</v>
      </c>
      <c r="F305" s="31">
        <v>200</v>
      </c>
      <c r="G305" s="261">
        <v>97300</v>
      </c>
      <c r="H305" s="261">
        <v>101192</v>
      </c>
      <c r="I305" s="261">
        <v>105239.67999999999</v>
      </c>
      <c r="J305" s="96"/>
    </row>
    <row r="306" spans="1:13" s="33" customFormat="1" ht="30.75" x14ac:dyDescent="0.25">
      <c r="A306" s="32" t="s">
        <v>643</v>
      </c>
      <c r="B306" s="292">
        <v>701</v>
      </c>
      <c r="C306" s="23" t="s">
        <v>34</v>
      </c>
      <c r="D306" s="23" t="s">
        <v>63</v>
      </c>
      <c r="E306" s="36">
        <v>5840022000</v>
      </c>
      <c r="F306" s="31"/>
      <c r="G306" s="261">
        <f>G307</f>
        <v>40000</v>
      </c>
      <c r="H306" s="261">
        <f t="shared" ref="H306:I306" si="110">H307</f>
        <v>41600</v>
      </c>
      <c r="I306" s="261">
        <f t="shared" si="110"/>
        <v>43264</v>
      </c>
      <c r="J306" s="96"/>
    </row>
    <row r="307" spans="1:13" s="33" customFormat="1" ht="30.75" x14ac:dyDescent="0.25">
      <c r="A307" s="32" t="s">
        <v>26</v>
      </c>
      <c r="B307" s="292">
        <v>701</v>
      </c>
      <c r="C307" s="23" t="s">
        <v>34</v>
      </c>
      <c r="D307" s="23" t="s">
        <v>63</v>
      </c>
      <c r="E307" s="36" t="s">
        <v>671</v>
      </c>
      <c r="F307" s="31">
        <v>200</v>
      </c>
      <c r="G307" s="261">
        <v>40000</v>
      </c>
      <c r="H307" s="261">
        <v>41600</v>
      </c>
      <c r="I307" s="261">
        <v>43264</v>
      </c>
      <c r="J307" s="96"/>
    </row>
    <row r="308" spans="1:13" s="33" customFormat="1" ht="63" x14ac:dyDescent="0.25">
      <c r="A308" s="18" t="s">
        <v>64</v>
      </c>
      <c r="B308" s="293" t="s">
        <v>218</v>
      </c>
      <c r="C308" s="19" t="s">
        <v>34</v>
      </c>
      <c r="D308" s="19" t="s">
        <v>63</v>
      </c>
      <c r="E308" s="19" t="s">
        <v>65</v>
      </c>
      <c r="F308" s="30"/>
      <c r="G308" s="263">
        <f>G309</f>
        <v>50351.31</v>
      </c>
      <c r="H308" s="263">
        <f t="shared" ref="H308:I310" si="111">H309</f>
        <v>53120.63</v>
      </c>
      <c r="I308" s="263">
        <f t="shared" si="111"/>
        <v>55882.9</v>
      </c>
      <c r="J308" s="96"/>
    </row>
    <row r="309" spans="1:13" s="33" customFormat="1" x14ac:dyDescent="0.25">
      <c r="A309" s="22" t="s">
        <v>50</v>
      </c>
      <c r="B309" s="292">
        <v>701</v>
      </c>
      <c r="C309" s="23" t="s">
        <v>34</v>
      </c>
      <c r="D309" s="23" t="s">
        <v>63</v>
      </c>
      <c r="E309" s="23" t="s">
        <v>67</v>
      </c>
      <c r="F309" s="31"/>
      <c r="G309" s="261">
        <f>G310</f>
        <v>50351.31</v>
      </c>
      <c r="H309" s="261">
        <f t="shared" si="111"/>
        <v>53120.63</v>
      </c>
      <c r="I309" s="261">
        <f t="shared" si="111"/>
        <v>55882.9</v>
      </c>
      <c r="J309" s="96"/>
    </row>
    <row r="310" spans="1:13" s="33" customFormat="1" ht="30.75" x14ac:dyDescent="0.25">
      <c r="A310" s="22" t="s">
        <v>221</v>
      </c>
      <c r="B310" s="293" t="s">
        <v>218</v>
      </c>
      <c r="C310" s="23" t="s">
        <v>34</v>
      </c>
      <c r="D310" s="23" t="s">
        <v>63</v>
      </c>
      <c r="E310" s="23">
        <v>6740011600</v>
      </c>
      <c r="F310" s="31"/>
      <c r="G310" s="261">
        <f>G311</f>
        <v>50351.31</v>
      </c>
      <c r="H310" s="261">
        <f t="shared" si="111"/>
        <v>53120.63</v>
      </c>
      <c r="I310" s="261">
        <f t="shared" si="111"/>
        <v>55882.9</v>
      </c>
      <c r="J310" s="96"/>
      <c r="K310" s="257"/>
      <c r="L310" s="257"/>
      <c r="M310" s="257"/>
    </row>
    <row r="311" spans="1:13" s="33" customFormat="1" ht="30.75" x14ac:dyDescent="0.25">
      <c r="A311" s="22" t="s">
        <v>26</v>
      </c>
      <c r="B311" s="292">
        <v>701</v>
      </c>
      <c r="C311" s="23" t="s">
        <v>34</v>
      </c>
      <c r="D311" s="23" t="s">
        <v>63</v>
      </c>
      <c r="E311" s="36">
        <v>6740011600</v>
      </c>
      <c r="F311" s="31">
        <v>200</v>
      </c>
      <c r="G311" s="261">
        <v>50351.31</v>
      </c>
      <c r="H311" s="261">
        <v>53120.63</v>
      </c>
      <c r="I311" s="261">
        <v>55882.9</v>
      </c>
      <c r="J311" s="96"/>
    </row>
    <row r="312" spans="1:13" s="33" customFormat="1" ht="31.5" x14ac:dyDescent="0.25">
      <c r="A312" s="18" t="s">
        <v>45</v>
      </c>
      <c r="B312" s="293" t="s">
        <v>218</v>
      </c>
      <c r="C312" s="19" t="s">
        <v>34</v>
      </c>
      <c r="D312" s="19" t="s">
        <v>63</v>
      </c>
      <c r="E312" s="19" t="s">
        <v>46</v>
      </c>
      <c r="F312" s="30"/>
      <c r="G312" s="263">
        <f>G313</f>
        <v>223250</v>
      </c>
      <c r="H312" s="263">
        <f t="shared" ref="H312:I314" si="112">H313</f>
        <v>223250</v>
      </c>
      <c r="I312" s="263">
        <f t="shared" si="112"/>
        <v>223250</v>
      </c>
      <c r="J312" s="96"/>
    </row>
    <row r="313" spans="1:13" s="33" customFormat="1" x14ac:dyDescent="0.25">
      <c r="A313" s="22" t="s">
        <v>50</v>
      </c>
      <c r="B313" s="292">
        <v>701</v>
      </c>
      <c r="C313" s="23" t="s">
        <v>34</v>
      </c>
      <c r="D313" s="23" t="s">
        <v>63</v>
      </c>
      <c r="E313" s="36" t="s">
        <v>51</v>
      </c>
      <c r="F313" s="31"/>
      <c r="G313" s="261">
        <f>G314</f>
        <v>223250</v>
      </c>
      <c r="H313" s="261">
        <f>H314</f>
        <v>223250</v>
      </c>
      <c r="I313" s="261">
        <f>I314</f>
        <v>223250</v>
      </c>
      <c r="J313" s="96"/>
    </row>
    <row r="314" spans="1:13" s="33" customFormat="1" ht="37.5" customHeight="1" x14ac:dyDescent="0.25">
      <c r="A314" s="22" t="s">
        <v>165</v>
      </c>
      <c r="B314" s="293" t="s">
        <v>218</v>
      </c>
      <c r="C314" s="23" t="s">
        <v>34</v>
      </c>
      <c r="D314" s="23" t="s">
        <v>63</v>
      </c>
      <c r="E314" s="36" t="s">
        <v>549</v>
      </c>
      <c r="F314" s="31"/>
      <c r="G314" s="261">
        <f>G315</f>
        <v>223250</v>
      </c>
      <c r="H314" s="261">
        <f t="shared" si="112"/>
        <v>223250</v>
      </c>
      <c r="I314" s="261">
        <f t="shared" si="112"/>
        <v>223250</v>
      </c>
      <c r="J314" s="96"/>
    </row>
    <row r="315" spans="1:13" s="33" customFormat="1" ht="30.75" x14ac:dyDescent="0.25">
      <c r="A315" s="22" t="s">
        <v>26</v>
      </c>
      <c r="B315" s="292">
        <v>701</v>
      </c>
      <c r="C315" s="23" t="s">
        <v>34</v>
      </c>
      <c r="D315" s="23" t="s">
        <v>63</v>
      </c>
      <c r="E315" s="40" t="s">
        <v>549</v>
      </c>
      <c r="F315" s="31">
        <v>200</v>
      </c>
      <c r="G315" s="261">
        <v>223250</v>
      </c>
      <c r="H315" s="261">
        <v>223250</v>
      </c>
      <c r="I315" s="261">
        <v>223250</v>
      </c>
      <c r="J315" s="96"/>
    </row>
    <row r="316" spans="1:13" s="33" customFormat="1" x14ac:dyDescent="0.25">
      <c r="A316" s="18" t="s">
        <v>18</v>
      </c>
      <c r="B316" s="293" t="s">
        <v>218</v>
      </c>
      <c r="C316" s="19" t="s">
        <v>34</v>
      </c>
      <c r="D316" s="19" t="s">
        <v>63</v>
      </c>
      <c r="E316" s="39" t="s">
        <v>19</v>
      </c>
      <c r="F316" s="30"/>
      <c r="G316" s="42">
        <f>G317</f>
        <v>2259971</v>
      </c>
      <c r="H316" s="42">
        <f>H317</f>
        <v>2330164</v>
      </c>
      <c r="I316" s="42">
        <f>I317</f>
        <v>2400181.02</v>
      </c>
      <c r="J316" s="96"/>
    </row>
    <row r="317" spans="1:13" s="33" customFormat="1" ht="30.75" x14ac:dyDescent="0.25">
      <c r="A317" s="22" t="s">
        <v>220</v>
      </c>
      <c r="B317" s="292">
        <v>701</v>
      </c>
      <c r="C317" s="23" t="s">
        <v>34</v>
      </c>
      <c r="D317" s="23" t="s">
        <v>63</v>
      </c>
      <c r="E317" s="31">
        <v>9910000000</v>
      </c>
      <c r="F317" s="31"/>
      <c r="G317" s="28">
        <f>G318+G320+G322</f>
        <v>2259971</v>
      </c>
      <c r="H317" s="28">
        <f>H318+H320+H322</f>
        <v>2330164</v>
      </c>
      <c r="I317" s="28">
        <f>I318+I320+I322</f>
        <v>2400181.02</v>
      </c>
      <c r="J317" s="96"/>
    </row>
    <row r="318" spans="1:13" s="33" customFormat="1" ht="30.75" x14ac:dyDescent="0.25">
      <c r="A318" s="22" t="s">
        <v>159</v>
      </c>
      <c r="B318" s="293" t="s">
        <v>218</v>
      </c>
      <c r="C318" s="23" t="s">
        <v>34</v>
      </c>
      <c r="D318" s="23" t="s">
        <v>63</v>
      </c>
      <c r="E318" s="101" t="s">
        <v>160</v>
      </c>
      <c r="F318" s="102"/>
      <c r="G318" s="28">
        <f>G319</f>
        <v>829923</v>
      </c>
      <c r="H318" s="28">
        <f>H319</f>
        <v>865463</v>
      </c>
      <c r="I318" s="28">
        <f>I319</f>
        <v>900914</v>
      </c>
      <c r="J318" s="96"/>
    </row>
    <row r="319" spans="1:13" s="33" customFormat="1" ht="30.75" x14ac:dyDescent="0.25">
      <c r="A319" s="22" t="s">
        <v>26</v>
      </c>
      <c r="B319" s="292">
        <v>701</v>
      </c>
      <c r="C319" s="23" t="s">
        <v>34</v>
      </c>
      <c r="D319" s="23" t="s">
        <v>63</v>
      </c>
      <c r="E319" s="101" t="s">
        <v>160</v>
      </c>
      <c r="F319" s="102" t="s">
        <v>27</v>
      </c>
      <c r="G319" s="28">
        <f>'Приложение 2'!F174</f>
        <v>829923</v>
      </c>
      <c r="H319" s="28">
        <f>'Приложение 2'!G174</f>
        <v>865463</v>
      </c>
      <c r="I319" s="28">
        <f>'Приложение 2'!H174</f>
        <v>900914</v>
      </c>
      <c r="J319" s="96"/>
    </row>
    <row r="320" spans="1:13" s="33" customFormat="1" ht="30.75" x14ac:dyDescent="0.25">
      <c r="A320" s="32" t="s">
        <v>157</v>
      </c>
      <c r="B320" s="293" t="s">
        <v>218</v>
      </c>
      <c r="C320" s="23" t="s">
        <v>34</v>
      </c>
      <c r="D320" s="23" t="s">
        <v>63</v>
      </c>
      <c r="E320" s="23" t="s">
        <v>158</v>
      </c>
      <c r="F320" s="102"/>
      <c r="G320" s="28">
        <f>G321</f>
        <v>135600</v>
      </c>
      <c r="H320" s="28">
        <f>H321</f>
        <v>143058</v>
      </c>
      <c r="I320" s="28">
        <f>I321</f>
        <v>150497.01999999999</v>
      </c>
      <c r="J320" s="96"/>
    </row>
    <row r="321" spans="1:12" s="33" customFormat="1" ht="30.75" x14ac:dyDescent="0.25">
      <c r="A321" s="22" t="s">
        <v>26</v>
      </c>
      <c r="B321" s="292">
        <v>701</v>
      </c>
      <c r="C321" s="23" t="s">
        <v>34</v>
      </c>
      <c r="D321" s="23" t="s">
        <v>63</v>
      </c>
      <c r="E321" s="101" t="s">
        <v>158</v>
      </c>
      <c r="F321" s="102" t="s">
        <v>27</v>
      </c>
      <c r="G321" s="28">
        <f>'Приложение 2'!F176</f>
        <v>135600</v>
      </c>
      <c r="H321" s="28">
        <f>'Приложение 2'!G176</f>
        <v>143058</v>
      </c>
      <c r="I321" s="28">
        <f>'Приложение 2'!H176</f>
        <v>150497.01999999999</v>
      </c>
      <c r="J321" s="96"/>
    </row>
    <row r="322" spans="1:12" s="33" customFormat="1" ht="30.75" x14ac:dyDescent="0.25">
      <c r="A322" s="32" t="s">
        <v>165</v>
      </c>
      <c r="B322" s="293" t="s">
        <v>218</v>
      </c>
      <c r="C322" s="23" t="s">
        <v>34</v>
      </c>
      <c r="D322" s="23" t="s">
        <v>63</v>
      </c>
      <c r="E322" s="31">
        <v>9910022001</v>
      </c>
      <c r="F322" s="102"/>
      <c r="G322" s="28">
        <f>G323</f>
        <v>1294448</v>
      </c>
      <c r="H322" s="28">
        <f>H323</f>
        <v>1321643</v>
      </c>
      <c r="I322" s="28">
        <f>I323</f>
        <v>1348770</v>
      </c>
      <c r="J322" s="96"/>
    </row>
    <row r="323" spans="1:12" s="33" customFormat="1" ht="30.75" x14ac:dyDescent="0.25">
      <c r="A323" s="22" t="s">
        <v>26</v>
      </c>
      <c r="B323" s="292">
        <v>701</v>
      </c>
      <c r="C323" s="23" t="s">
        <v>34</v>
      </c>
      <c r="D323" s="23" t="s">
        <v>63</v>
      </c>
      <c r="E323" s="101">
        <v>9910022001</v>
      </c>
      <c r="F323" s="102" t="s">
        <v>27</v>
      </c>
      <c r="G323" s="28">
        <f>'Приложение 2'!F178</f>
        <v>1294448</v>
      </c>
      <c r="H323" s="28">
        <f>'Приложение 2'!G178</f>
        <v>1321643</v>
      </c>
      <c r="I323" s="28">
        <f>'Приложение 2'!H178</f>
        <v>1348770</v>
      </c>
      <c r="J323" s="96"/>
    </row>
    <row r="324" spans="1:12" s="33" customFormat="1" x14ac:dyDescent="0.25">
      <c r="A324" s="34" t="s">
        <v>99</v>
      </c>
      <c r="B324" s="292">
        <v>701</v>
      </c>
      <c r="C324" s="19" t="s">
        <v>34</v>
      </c>
      <c r="D324" s="19" t="s">
        <v>34</v>
      </c>
      <c r="E324" s="30"/>
      <c r="F324" s="30"/>
      <c r="G324" s="20">
        <f>G325</f>
        <v>42519868.369999997</v>
      </c>
      <c r="H324" s="20">
        <f>H325</f>
        <v>34558557.584399998</v>
      </c>
      <c r="I324" s="20">
        <f>I325</f>
        <v>34985334.340800002</v>
      </c>
      <c r="J324" s="96"/>
    </row>
    <row r="325" spans="1:12" s="33" customFormat="1" ht="47.25" x14ac:dyDescent="0.25">
      <c r="A325" s="34" t="s">
        <v>100</v>
      </c>
      <c r="B325" s="293" t="s">
        <v>218</v>
      </c>
      <c r="C325" s="19" t="s">
        <v>34</v>
      </c>
      <c r="D325" s="19" t="s">
        <v>34</v>
      </c>
      <c r="E325" s="35" t="s">
        <v>101</v>
      </c>
      <c r="F325" s="30"/>
      <c r="G325" s="20">
        <f>G326+G347</f>
        <v>42519868.369999997</v>
      </c>
      <c r="H325" s="20">
        <f>H326+H347</f>
        <v>34558557.584399998</v>
      </c>
      <c r="I325" s="20">
        <f>I326+I347</f>
        <v>34985334.340800002</v>
      </c>
      <c r="J325" s="96"/>
    </row>
    <row r="326" spans="1:12" s="43" customFormat="1" ht="15" x14ac:dyDescent="0.2">
      <c r="A326" s="32" t="s">
        <v>43</v>
      </c>
      <c r="B326" s="292">
        <v>701</v>
      </c>
      <c r="C326" s="23" t="s">
        <v>34</v>
      </c>
      <c r="D326" s="23" t="s">
        <v>34</v>
      </c>
      <c r="E326" s="36" t="s">
        <v>102</v>
      </c>
      <c r="F326" s="31"/>
      <c r="G326" s="24">
        <f>G327+G340+G344</f>
        <v>20173974.460000001</v>
      </c>
      <c r="H326" s="24">
        <f>H327+H340+H344</f>
        <v>15543757.794399999</v>
      </c>
      <c r="I326" s="24">
        <f>I327+I340+I344</f>
        <v>16293838.580799999</v>
      </c>
      <c r="J326" s="252"/>
    </row>
    <row r="327" spans="1:12" s="43" customFormat="1" ht="45" x14ac:dyDescent="0.2">
      <c r="A327" s="32" t="s">
        <v>148</v>
      </c>
      <c r="B327" s="293" t="s">
        <v>218</v>
      </c>
      <c r="C327" s="23" t="s">
        <v>34</v>
      </c>
      <c r="D327" s="23" t="s">
        <v>34</v>
      </c>
      <c r="E327" s="36" t="s">
        <v>102</v>
      </c>
      <c r="F327" s="280"/>
      <c r="G327" s="24">
        <f>G328+G331+G333+G335+G338</f>
        <v>18308961.460000001</v>
      </c>
      <c r="H327" s="24">
        <f t="shared" ref="H327:I327" si="113">H328+H331+H333+H335+H338</f>
        <v>13604144.2744</v>
      </c>
      <c r="I327" s="24">
        <f t="shared" si="113"/>
        <v>14276640.52</v>
      </c>
      <c r="J327" s="252"/>
    </row>
    <row r="328" spans="1:12" s="43" customFormat="1" ht="30" x14ac:dyDescent="0.2">
      <c r="A328" s="32" t="s">
        <v>626</v>
      </c>
      <c r="B328" s="292">
        <v>701</v>
      </c>
      <c r="C328" s="23" t="s">
        <v>34</v>
      </c>
      <c r="D328" s="23" t="s">
        <v>34</v>
      </c>
      <c r="E328" s="36">
        <v>5230010001</v>
      </c>
      <c r="F328" s="280"/>
      <c r="G328" s="260">
        <f>SUM(G329:G330)</f>
        <v>11679996.83</v>
      </c>
      <c r="H328" s="260">
        <f t="shared" ref="H328:I328" si="114">SUM(H329:H330)</f>
        <v>6512213.0543999998</v>
      </c>
      <c r="I328" s="260">
        <f t="shared" si="114"/>
        <v>6610862.46</v>
      </c>
      <c r="J328" s="252"/>
      <c r="K328" s="334"/>
    </row>
    <row r="329" spans="1:12" s="43" customFormat="1" ht="30" x14ac:dyDescent="0.2">
      <c r="A329" s="32" t="s">
        <v>26</v>
      </c>
      <c r="B329" s="293" t="s">
        <v>218</v>
      </c>
      <c r="C329" s="23" t="s">
        <v>34</v>
      </c>
      <c r="D329" s="23" t="s">
        <v>34</v>
      </c>
      <c r="E329" s="36">
        <v>5230010001</v>
      </c>
      <c r="F329" s="280">
        <v>200</v>
      </c>
      <c r="G329" s="260">
        <f>2371379.86+190200+141400.97</f>
        <v>2702980.83</v>
      </c>
      <c r="H329" s="260">
        <v>2466235.0543999998</v>
      </c>
      <c r="I329" s="260">
        <v>2564884.46</v>
      </c>
      <c r="J329" s="252"/>
      <c r="K329" s="334"/>
      <c r="L329" s="334"/>
    </row>
    <row r="330" spans="1:12" s="43" customFormat="1" ht="15" x14ac:dyDescent="0.2">
      <c r="A330" s="32" t="s">
        <v>52</v>
      </c>
      <c r="B330" s="292">
        <v>701</v>
      </c>
      <c r="C330" s="23" t="s">
        <v>34</v>
      </c>
      <c r="D330" s="23" t="s">
        <v>34</v>
      </c>
      <c r="E330" s="36">
        <v>5230010001</v>
      </c>
      <c r="F330" s="280">
        <v>300</v>
      </c>
      <c r="G330" s="260">
        <f>4045978+4931038</f>
        <v>8977016</v>
      </c>
      <c r="H330" s="260">
        <v>4045978</v>
      </c>
      <c r="I330" s="260">
        <v>4045978</v>
      </c>
      <c r="J330" s="252"/>
      <c r="K330" s="334"/>
      <c r="L330" s="334"/>
    </row>
    <row r="331" spans="1:12" s="43" customFormat="1" ht="60" x14ac:dyDescent="0.2">
      <c r="A331" s="32" t="s">
        <v>627</v>
      </c>
      <c r="B331" s="293" t="s">
        <v>218</v>
      </c>
      <c r="C331" s="23" t="s">
        <v>34</v>
      </c>
      <c r="D331" s="23" t="s">
        <v>34</v>
      </c>
      <c r="E331" s="36">
        <v>5230010050</v>
      </c>
      <c r="F331" s="280"/>
      <c r="G331" s="260">
        <f>G332</f>
        <v>252128</v>
      </c>
      <c r="H331" s="260">
        <f t="shared" ref="H331:I331" si="115">H332</f>
        <v>460021.12</v>
      </c>
      <c r="I331" s="260">
        <f t="shared" si="115"/>
        <v>478421.96</v>
      </c>
      <c r="J331" s="252"/>
      <c r="K331" s="334"/>
    </row>
    <row r="332" spans="1:12" s="43" customFormat="1" ht="30" x14ac:dyDescent="0.2">
      <c r="A332" s="32" t="s">
        <v>26</v>
      </c>
      <c r="B332" s="292">
        <v>701</v>
      </c>
      <c r="C332" s="23" t="s">
        <v>34</v>
      </c>
      <c r="D332" s="23" t="s">
        <v>34</v>
      </c>
      <c r="E332" s="36">
        <v>5230010050</v>
      </c>
      <c r="F332" s="280">
        <v>200</v>
      </c>
      <c r="G332" s="260">
        <f>442328-190200</f>
        <v>252128</v>
      </c>
      <c r="H332" s="260">
        <v>460021.12</v>
      </c>
      <c r="I332" s="260">
        <v>478421.96</v>
      </c>
      <c r="J332" s="252"/>
      <c r="K332" s="334"/>
    </row>
    <row r="333" spans="1:12" s="43" customFormat="1" ht="30" x14ac:dyDescent="0.2">
      <c r="A333" s="32" t="s">
        <v>628</v>
      </c>
      <c r="B333" s="293" t="s">
        <v>218</v>
      </c>
      <c r="C333" s="23" t="s">
        <v>34</v>
      </c>
      <c r="D333" s="23" t="s">
        <v>34</v>
      </c>
      <c r="E333" s="36">
        <v>5230010060</v>
      </c>
      <c r="F333" s="280"/>
      <c r="G333" s="260">
        <f>G334</f>
        <v>4549995.63</v>
      </c>
      <c r="H333" s="260">
        <f t="shared" ref="H333:I333" si="116">H334</f>
        <v>4731995.46</v>
      </c>
      <c r="I333" s="260">
        <f t="shared" si="116"/>
        <v>4921275.2699999996</v>
      </c>
      <c r="J333" s="252"/>
    </row>
    <row r="334" spans="1:12" s="43" customFormat="1" ht="15" x14ac:dyDescent="0.2">
      <c r="A334" s="32" t="s">
        <v>52</v>
      </c>
      <c r="B334" s="292">
        <v>701</v>
      </c>
      <c r="C334" s="23" t="s">
        <v>34</v>
      </c>
      <c r="D334" s="23" t="s">
        <v>34</v>
      </c>
      <c r="E334" s="36">
        <v>5230010060</v>
      </c>
      <c r="F334" s="280">
        <v>300</v>
      </c>
      <c r="G334" s="260">
        <v>4549995.63</v>
      </c>
      <c r="H334" s="260">
        <v>4731995.46</v>
      </c>
      <c r="I334" s="260">
        <v>4921275.2699999996</v>
      </c>
      <c r="J334" s="252"/>
    </row>
    <row r="335" spans="1:12" s="43" customFormat="1" ht="15" x14ac:dyDescent="0.2">
      <c r="A335" s="32" t="s">
        <v>629</v>
      </c>
      <c r="B335" s="293" t="s">
        <v>218</v>
      </c>
      <c r="C335" s="23" t="s">
        <v>34</v>
      </c>
      <c r="D335" s="23" t="s">
        <v>34</v>
      </c>
      <c r="E335" s="36">
        <v>5230010070</v>
      </c>
      <c r="F335" s="280"/>
      <c r="G335" s="260">
        <f>SUM(G336:G337)</f>
        <v>1632841</v>
      </c>
      <c r="H335" s="260">
        <f t="shared" ref="H335:I335" si="117">SUM(H336:H337)</f>
        <v>1698154.6400000001</v>
      </c>
      <c r="I335" s="260">
        <f t="shared" si="117"/>
        <v>1766080.83</v>
      </c>
      <c r="J335" s="252"/>
    </row>
    <row r="336" spans="1:12" s="43" customFormat="1" ht="75" x14ac:dyDescent="0.2">
      <c r="A336" s="32" t="s">
        <v>22</v>
      </c>
      <c r="B336" s="292">
        <v>701</v>
      </c>
      <c r="C336" s="23" t="s">
        <v>34</v>
      </c>
      <c r="D336" s="23" t="s">
        <v>34</v>
      </c>
      <c r="E336" s="36">
        <v>5230010070</v>
      </c>
      <c r="F336" s="280">
        <v>100</v>
      </c>
      <c r="G336" s="260">
        <v>1082761</v>
      </c>
      <c r="H336" s="260">
        <v>1126071.44</v>
      </c>
      <c r="I336" s="260">
        <v>1171114.3</v>
      </c>
      <c r="J336" s="252"/>
    </row>
    <row r="337" spans="1:12" s="43" customFormat="1" ht="30" x14ac:dyDescent="0.2">
      <c r="A337" s="32" t="s">
        <v>26</v>
      </c>
      <c r="B337" s="293" t="s">
        <v>218</v>
      </c>
      <c r="C337" s="23" t="s">
        <v>34</v>
      </c>
      <c r="D337" s="23" t="s">
        <v>34</v>
      </c>
      <c r="E337" s="36">
        <v>5230010070</v>
      </c>
      <c r="F337" s="280">
        <v>200</v>
      </c>
      <c r="G337" s="260">
        <v>550080</v>
      </c>
      <c r="H337" s="260">
        <v>572083.20000000007</v>
      </c>
      <c r="I337" s="260">
        <v>594966.53</v>
      </c>
      <c r="J337" s="252"/>
    </row>
    <row r="338" spans="1:12" s="43" customFormat="1" ht="45" x14ac:dyDescent="0.2">
      <c r="A338" s="32" t="s">
        <v>630</v>
      </c>
      <c r="B338" s="292">
        <v>701</v>
      </c>
      <c r="C338" s="23" t="s">
        <v>34</v>
      </c>
      <c r="D338" s="23" t="s">
        <v>34</v>
      </c>
      <c r="E338" s="36">
        <v>5230010080</v>
      </c>
      <c r="F338" s="280"/>
      <c r="G338" s="260">
        <f>G339</f>
        <v>194000</v>
      </c>
      <c r="H338" s="260">
        <f t="shared" ref="H338:I338" si="118">H339</f>
        <v>201760</v>
      </c>
      <c r="I338" s="260">
        <f t="shared" si="118"/>
        <v>500000</v>
      </c>
      <c r="J338" s="252"/>
    </row>
    <row r="339" spans="1:12" s="43" customFormat="1" ht="30" x14ac:dyDescent="0.2">
      <c r="A339" s="22" t="s">
        <v>26</v>
      </c>
      <c r="B339" s="293" t="s">
        <v>218</v>
      </c>
      <c r="C339" s="23" t="s">
        <v>34</v>
      </c>
      <c r="D339" s="23" t="s">
        <v>34</v>
      </c>
      <c r="E339" s="36">
        <v>5230010080</v>
      </c>
      <c r="F339" s="31">
        <v>200</v>
      </c>
      <c r="G339" s="262">
        <v>194000</v>
      </c>
      <c r="H339" s="262">
        <v>201760</v>
      </c>
      <c r="I339" s="262">
        <v>500000</v>
      </c>
      <c r="J339" s="252"/>
    </row>
    <row r="340" spans="1:12" s="43" customFormat="1" ht="30" x14ac:dyDescent="0.2">
      <c r="A340" s="32" t="s">
        <v>147</v>
      </c>
      <c r="B340" s="292">
        <v>701</v>
      </c>
      <c r="C340" s="23" t="s">
        <v>34</v>
      </c>
      <c r="D340" s="23" t="s">
        <v>34</v>
      </c>
      <c r="E340" s="36" t="s">
        <v>102</v>
      </c>
      <c r="F340" s="280"/>
      <c r="G340" s="260">
        <f>G341</f>
        <v>864013</v>
      </c>
      <c r="H340" s="260">
        <f t="shared" ref="H340:I340" si="119">H341</f>
        <v>898573.52</v>
      </c>
      <c r="I340" s="260">
        <f t="shared" si="119"/>
        <v>934516.4608</v>
      </c>
      <c r="J340" s="252"/>
    </row>
    <row r="341" spans="1:12" s="43" customFormat="1" ht="15" x14ac:dyDescent="0.2">
      <c r="A341" s="32" t="s">
        <v>624</v>
      </c>
      <c r="B341" s="292">
        <v>701</v>
      </c>
      <c r="C341" s="23" t="s">
        <v>34</v>
      </c>
      <c r="D341" s="23" t="s">
        <v>34</v>
      </c>
      <c r="E341" s="36" t="s">
        <v>625</v>
      </c>
      <c r="F341" s="280"/>
      <c r="G341" s="260">
        <f>SUM(G342:G343)</f>
        <v>864013</v>
      </c>
      <c r="H341" s="260">
        <f t="shared" ref="H341:I341" si="120">SUM(H342:H343)</f>
        <v>898573.52</v>
      </c>
      <c r="I341" s="260">
        <f t="shared" si="120"/>
        <v>934516.4608</v>
      </c>
      <c r="J341" s="252"/>
    </row>
    <row r="342" spans="1:12" s="43" customFormat="1" ht="30" x14ac:dyDescent="0.2">
      <c r="A342" s="22" t="s">
        <v>26</v>
      </c>
      <c r="B342" s="293" t="s">
        <v>218</v>
      </c>
      <c r="C342" s="23" t="s">
        <v>34</v>
      </c>
      <c r="D342" s="23" t="s">
        <v>34</v>
      </c>
      <c r="E342" s="36" t="s">
        <v>625</v>
      </c>
      <c r="F342" s="31">
        <v>200</v>
      </c>
      <c r="G342" s="260">
        <v>283295</v>
      </c>
      <c r="H342" s="260">
        <v>294626.8</v>
      </c>
      <c r="I342" s="260">
        <v>306411.87199999997</v>
      </c>
      <c r="J342" s="252"/>
    </row>
    <row r="343" spans="1:12" s="43" customFormat="1" ht="15" x14ac:dyDescent="0.2">
      <c r="A343" s="32" t="s">
        <v>52</v>
      </c>
      <c r="B343" s="292">
        <v>701</v>
      </c>
      <c r="C343" s="23" t="s">
        <v>34</v>
      </c>
      <c r="D343" s="23" t="s">
        <v>34</v>
      </c>
      <c r="E343" s="36" t="s">
        <v>625</v>
      </c>
      <c r="F343" s="31">
        <v>300</v>
      </c>
      <c r="G343" s="260">
        <v>580718</v>
      </c>
      <c r="H343" s="260">
        <v>603946.72</v>
      </c>
      <c r="I343" s="260">
        <v>628104.58880000003</v>
      </c>
      <c r="J343" s="252"/>
    </row>
    <row r="344" spans="1:12" s="43" customFormat="1" ht="30" x14ac:dyDescent="0.2">
      <c r="A344" s="32" t="s">
        <v>146</v>
      </c>
      <c r="B344" s="293" t="s">
        <v>218</v>
      </c>
      <c r="C344" s="23" t="s">
        <v>34</v>
      </c>
      <c r="D344" s="23" t="s">
        <v>34</v>
      </c>
      <c r="E344" s="36" t="s">
        <v>102</v>
      </c>
      <c r="F344" s="280"/>
      <c r="G344" s="260">
        <f>G345</f>
        <v>1001000</v>
      </c>
      <c r="H344" s="260">
        <f t="shared" ref="H344:I345" si="121">H345</f>
        <v>1041040</v>
      </c>
      <c r="I344" s="260">
        <f t="shared" si="121"/>
        <v>1082681.6000000001</v>
      </c>
      <c r="J344" s="252"/>
    </row>
    <row r="345" spans="1:12" s="43" customFormat="1" ht="15" x14ac:dyDescent="0.2">
      <c r="A345" s="32" t="s">
        <v>623</v>
      </c>
      <c r="B345" s="292">
        <v>701</v>
      </c>
      <c r="C345" s="23" t="s">
        <v>34</v>
      </c>
      <c r="D345" s="23" t="s">
        <v>34</v>
      </c>
      <c r="E345" s="36">
        <v>5230010030</v>
      </c>
      <c r="F345" s="280"/>
      <c r="G345" s="260">
        <f>G346</f>
        <v>1001000</v>
      </c>
      <c r="H345" s="260">
        <f t="shared" si="121"/>
        <v>1041040</v>
      </c>
      <c r="I345" s="260">
        <f t="shared" si="121"/>
        <v>1082681.6000000001</v>
      </c>
      <c r="J345" s="252"/>
    </row>
    <row r="346" spans="1:12" s="43" customFormat="1" ht="30" x14ac:dyDescent="0.2">
      <c r="A346" s="32" t="s">
        <v>26</v>
      </c>
      <c r="B346" s="293" t="s">
        <v>218</v>
      </c>
      <c r="C346" s="23" t="s">
        <v>34</v>
      </c>
      <c r="D346" s="23" t="s">
        <v>34</v>
      </c>
      <c r="E346" s="36">
        <v>5230010030</v>
      </c>
      <c r="F346" s="31">
        <v>200</v>
      </c>
      <c r="G346" s="260">
        <v>1001000</v>
      </c>
      <c r="H346" s="260">
        <v>1041040</v>
      </c>
      <c r="I346" s="260">
        <v>1082681.6000000001</v>
      </c>
      <c r="J346" s="252"/>
    </row>
    <row r="347" spans="1:12" s="43" customFormat="1" ht="15" x14ac:dyDescent="0.2">
      <c r="A347" s="105" t="s">
        <v>50</v>
      </c>
      <c r="B347" s="292">
        <v>701</v>
      </c>
      <c r="C347" s="23" t="s">
        <v>34</v>
      </c>
      <c r="D347" s="23" t="s">
        <v>34</v>
      </c>
      <c r="E347" s="23" t="s">
        <v>103</v>
      </c>
      <c r="F347" s="23"/>
      <c r="G347" s="260">
        <f>G349+G350</f>
        <v>22345893.909999996</v>
      </c>
      <c r="H347" s="260">
        <f>H349+H350</f>
        <v>19014799.789999999</v>
      </c>
      <c r="I347" s="260">
        <f>I349+I350</f>
        <v>18691495.760000002</v>
      </c>
      <c r="J347" s="253"/>
    </row>
    <row r="348" spans="1:12" s="43" customFormat="1" ht="30" x14ac:dyDescent="0.2">
      <c r="A348" s="105" t="s">
        <v>221</v>
      </c>
      <c r="B348" s="293" t="s">
        <v>218</v>
      </c>
      <c r="C348" s="23" t="s">
        <v>34</v>
      </c>
      <c r="D348" s="23" t="s">
        <v>34</v>
      </c>
      <c r="E348" s="23">
        <v>5240011600</v>
      </c>
      <c r="F348" s="23"/>
      <c r="G348" s="260">
        <f>SUM(G349:G350)</f>
        <v>22345893.909999996</v>
      </c>
      <c r="H348" s="260">
        <f t="shared" ref="H348:I348" si="122">SUM(H349:H350)</f>
        <v>19014799.789999999</v>
      </c>
      <c r="I348" s="260">
        <f t="shared" si="122"/>
        <v>18691495.760000002</v>
      </c>
      <c r="J348" s="253"/>
    </row>
    <row r="349" spans="1:12" s="43" customFormat="1" ht="75" x14ac:dyDescent="0.2">
      <c r="A349" s="32" t="s">
        <v>22</v>
      </c>
      <c r="B349" s="292">
        <v>701</v>
      </c>
      <c r="C349" s="23" t="s">
        <v>34</v>
      </c>
      <c r="D349" s="23" t="s">
        <v>34</v>
      </c>
      <c r="E349" s="23">
        <v>5240011600</v>
      </c>
      <c r="F349" s="23" t="s">
        <v>23</v>
      </c>
      <c r="G349" s="260">
        <f>16858448.72+3486795.06+990240</f>
        <v>21335483.779999997</v>
      </c>
      <c r="H349" s="260">
        <v>17963973.25</v>
      </c>
      <c r="I349" s="260">
        <v>17598636.16</v>
      </c>
      <c r="J349" s="253"/>
      <c r="K349" s="334"/>
      <c r="L349" s="334"/>
    </row>
    <row r="350" spans="1:12" s="43" customFormat="1" ht="30" x14ac:dyDescent="0.2">
      <c r="A350" s="22" t="s">
        <v>26</v>
      </c>
      <c r="B350" s="293" t="s">
        <v>218</v>
      </c>
      <c r="C350" s="23" t="s">
        <v>34</v>
      </c>
      <c r="D350" s="23" t="s">
        <v>34</v>
      </c>
      <c r="E350" s="23">
        <v>5240011600</v>
      </c>
      <c r="F350" s="23" t="s">
        <v>27</v>
      </c>
      <c r="G350" s="260">
        <v>1010410.1299999999</v>
      </c>
      <c r="H350" s="260">
        <v>1050826.54</v>
      </c>
      <c r="I350" s="260">
        <v>1092859.6000000001</v>
      </c>
      <c r="J350" s="253"/>
    </row>
    <row r="351" spans="1:12" s="44" customFormat="1" x14ac:dyDescent="0.25">
      <c r="A351" s="60" t="s">
        <v>104</v>
      </c>
      <c r="B351" s="292">
        <v>701</v>
      </c>
      <c r="C351" s="61" t="s">
        <v>34</v>
      </c>
      <c r="D351" s="61" t="s">
        <v>74</v>
      </c>
      <c r="E351" s="62"/>
      <c r="F351" s="62"/>
      <c r="G351" s="63">
        <f>G352+G380</f>
        <v>162416241.52000001</v>
      </c>
      <c r="H351" s="63">
        <f>H352+H380</f>
        <v>141766296.97999999</v>
      </c>
      <c r="I351" s="20">
        <f>I352+I380</f>
        <v>145653061.18000001</v>
      </c>
      <c r="J351" s="254"/>
    </row>
    <row r="352" spans="1:12" s="44" customFormat="1" x14ac:dyDescent="0.25">
      <c r="A352" s="34" t="s">
        <v>87</v>
      </c>
      <c r="B352" s="293" t="s">
        <v>218</v>
      </c>
      <c r="C352" s="19" t="s">
        <v>34</v>
      </c>
      <c r="D352" s="19" t="s">
        <v>74</v>
      </c>
      <c r="E352" s="35" t="s">
        <v>88</v>
      </c>
      <c r="F352" s="30"/>
      <c r="G352" s="20">
        <f>G353+G369</f>
        <v>159422110.23000002</v>
      </c>
      <c r="H352" s="20">
        <f>H353+H369</f>
        <v>141766296.97999999</v>
      </c>
      <c r="I352" s="20">
        <f>I353+I369</f>
        <v>145653061.18000001</v>
      </c>
      <c r="J352" s="254"/>
    </row>
    <row r="353" spans="1:12" s="45" customFormat="1" ht="15" x14ac:dyDescent="0.2">
      <c r="A353" s="32" t="s">
        <v>43</v>
      </c>
      <c r="B353" s="292">
        <v>701</v>
      </c>
      <c r="C353" s="23" t="s">
        <v>34</v>
      </c>
      <c r="D353" s="23" t="s">
        <v>74</v>
      </c>
      <c r="E353" s="36" t="s">
        <v>105</v>
      </c>
      <c r="F353" s="31"/>
      <c r="G353" s="24">
        <f>G354+G357+G363+G366</f>
        <v>61141410.280000001</v>
      </c>
      <c r="H353" s="24">
        <f>H354+H357+H363+H366</f>
        <v>58386960.690000005</v>
      </c>
      <c r="I353" s="24">
        <f>I354+I357+I363+I366</f>
        <v>58726979.870000005</v>
      </c>
      <c r="J353" s="255"/>
    </row>
    <row r="354" spans="1:12" s="45" customFormat="1" ht="30" x14ac:dyDescent="0.2">
      <c r="A354" s="32" t="s">
        <v>204</v>
      </c>
      <c r="B354" s="293" t="s">
        <v>218</v>
      </c>
      <c r="C354" s="23" t="s">
        <v>34</v>
      </c>
      <c r="D354" s="23" t="s">
        <v>74</v>
      </c>
      <c r="E354" s="36" t="s">
        <v>105</v>
      </c>
      <c r="F354" s="31"/>
      <c r="G354" s="260">
        <f>G355</f>
        <v>2528735.63</v>
      </c>
      <c r="H354" s="260">
        <f t="shared" ref="H354:I355" si="123">H355</f>
        <v>2629885.06</v>
      </c>
      <c r="I354" s="260">
        <f t="shared" si="123"/>
        <v>2735080.46</v>
      </c>
      <c r="J354" s="255"/>
    </row>
    <row r="355" spans="1:12" s="45" customFormat="1" ht="15" x14ac:dyDescent="0.2">
      <c r="A355" s="32" t="s">
        <v>648</v>
      </c>
      <c r="B355" s="292">
        <v>701</v>
      </c>
      <c r="C355" s="23" t="s">
        <v>34</v>
      </c>
      <c r="D355" s="23" t="s">
        <v>74</v>
      </c>
      <c r="E355" s="36">
        <v>5830010012</v>
      </c>
      <c r="F355" s="31"/>
      <c r="G355" s="260">
        <f>G356</f>
        <v>2528735.63</v>
      </c>
      <c r="H355" s="260">
        <f t="shared" si="123"/>
        <v>2629885.06</v>
      </c>
      <c r="I355" s="260">
        <f t="shared" si="123"/>
        <v>2735080.46</v>
      </c>
      <c r="J355" s="255"/>
    </row>
    <row r="356" spans="1:12" s="44" customFormat="1" ht="15" x14ac:dyDescent="0.2">
      <c r="A356" s="32" t="s">
        <v>52</v>
      </c>
      <c r="B356" s="293" t="s">
        <v>218</v>
      </c>
      <c r="C356" s="23" t="s">
        <v>34</v>
      </c>
      <c r="D356" s="23" t="s">
        <v>74</v>
      </c>
      <c r="E356" s="36">
        <v>5830010012</v>
      </c>
      <c r="F356" s="31">
        <v>300</v>
      </c>
      <c r="G356" s="260">
        <v>2528735.63</v>
      </c>
      <c r="H356" s="260">
        <v>2629885.06</v>
      </c>
      <c r="I356" s="260">
        <v>2735080.46</v>
      </c>
      <c r="J356" s="254"/>
    </row>
    <row r="357" spans="1:12" s="44" customFormat="1" ht="30" x14ac:dyDescent="0.2">
      <c r="A357" s="32" t="s">
        <v>205</v>
      </c>
      <c r="B357" s="292">
        <v>701</v>
      </c>
      <c r="C357" s="23" t="s">
        <v>34</v>
      </c>
      <c r="D357" s="23" t="s">
        <v>74</v>
      </c>
      <c r="E357" s="36" t="s">
        <v>105</v>
      </c>
      <c r="F357" s="31"/>
      <c r="G357" s="260">
        <f>G358</f>
        <v>52967848.200000003</v>
      </c>
      <c r="H357" s="260">
        <f t="shared" ref="H357:I357" si="124">H358</f>
        <v>49886456.120000005</v>
      </c>
      <c r="I357" s="260">
        <f t="shared" si="124"/>
        <v>49886455.120000005</v>
      </c>
      <c r="J357" s="254"/>
    </row>
    <row r="358" spans="1:12" s="44" customFormat="1" ht="45" x14ac:dyDescent="0.2">
      <c r="A358" s="32" t="s">
        <v>654</v>
      </c>
      <c r="B358" s="292">
        <v>701</v>
      </c>
      <c r="C358" s="23" t="s">
        <v>34</v>
      </c>
      <c r="D358" s="23" t="s">
        <v>74</v>
      </c>
      <c r="E358" s="36" t="s">
        <v>653</v>
      </c>
      <c r="F358" s="31"/>
      <c r="G358" s="260">
        <f>SUM(G359:G362)</f>
        <v>52967848.200000003</v>
      </c>
      <c r="H358" s="260">
        <f t="shared" ref="H358:I358" si="125">SUM(H359:H362)</f>
        <v>49886456.120000005</v>
      </c>
      <c r="I358" s="260">
        <f t="shared" si="125"/>
        <v>49886455.120000005</v>
      </c>
      <c r="J358" s="254"/>
      <c r="K358" s="335"/>
    </row>
    <row r="359" spans="1:12" s="44" customFormat="1" ht="75" x14ac:dyDescent="0.2">
      <c r="A359" s="32" t="s">
        <v>22</v>
      </c>
      <c r="B359" s="292" t="s">
        <v>218</v>
      </c>
      <c r="C359" s="23" t="s">
        <v>34</v>
      </c>
      <c r="D359" s="23" t="s">
        <v>74</v>
      </c>
      <c r="E359" s="36" t="s">
        <v>653</v>
      </c>
      <c r="F359" s="31" t="s">
        <v>23</v>
      </c>
      <c r="G359" s="260">
        <f>14397416+1771737.25</f>
        <v>16169153.25</v>
      </c>
      <c r="H359" s="260">
        <v>0</v>
      </c>
      <c r="I359" s="260">
        <v>0</v>
      </c>
      <c r="J359" s="254"/>
      <c r="K359" s="335"/>
      <c r="L359" s="335"/>
    </row>
    <row r="360" spans="1:12" s="44" customFormat="1" ht="30" x14ac:dyDescent="0.2">
      <c r="A360" s="32" t="s">
        <v>26</v>
      </c>
      <c r="B360" s="292">
        <v>701</v>
      </c>
      <c r="C360" s="23" t="s">
        <v>34</v>
      </c>
      <c r="D360" s="23" t="s">
        <v>74</v>
      </c>
      <c r="E360" s="36" t="s">
        <v>653</v>
      </c>
      <c r="F360" s="31" t="s">
        <v>27</v>
      </c>
      <c r="G360" s="260">
        <f>21639989+1642311.39</f>
        <v>23282300.390000001</v>
      </c>
      <c r="H360" s="260">
        <v>0</v>
      </c>
      <c r="I360" s="260">
        <v>0</v>
      </c>
      <c r="J360" s="254"/>
      <c r="K360" s="335"/>
      <c r="L360" s="335"/>
    </row>
    <row r="361" spans="1:12" s="44" customFormat="1" ht="30" x14ac:dyDescent="0.2">
      <c r="A361" s="32" t="s">
        <v>54</v>
      </c>
      <c r="B361" s="293" t="s">
        <v>218</v>
      </c>
      <c r="C361" s="23" t="s">
        <v>34</v>
      </c>
      <c r="D361" s="23" t="s">
        <v>74</v>
      </c>
      <c r="E361" s="36" t="s">
        <v>653</v>
      </c>
      <c r="F361" s="31">
        <v>600</v>
      </c>
      <c r="G361" s="322">
        <v>13516394.560000001</v>
      </c>
      <c r="H361" s="322">
        <v>13516394.560000001</v>
      </c>
      <c r="I361" s="322">
        <v>13516394.560000001</v>
      </c>
      <c r="J361" s="254"/>
      <c r="K361" s="335"/>
    </row>
    <row r="362" spans="1:12" s="44" customFormat="1" ht="15" x14ac:dyDescent="0.2">
      <c r="A362" s="32" t="s">
        <v>28</v>
      </c>
      <c r="B362" s="292">
        <v>701</v>
      </c>
      <c r="C362" s="23" t="s">
        <v>34</v>
      </c>
      <c r="D362" s="23" t="s">
        <v>74</v>
      </c>
      <c r="E362" s="36" t="s">
        <v>653</v>
      </c>
      <c r="F362" s="31">
        <v>800</v>
      </c>
      <c r="G362" s="322">
        <f>36037405-36037405</f>
        <v>0</v>
      </c>
      <c r="H362" s="322">
        <v>36370061.560000002</v>
      </c>
      <c r="I362" s="322">
        <v>36370060.560000002</v>
      </c>
      <c r="J362" s="254"/>
      <c r="K362" s="335"/>
    </row>
    <row r="363" spans="1:12" s="44" customFormat="1" ht="30" x14ac:dyDescent="0.2">
      <c r="A363" s="32" t="s">
        <v>206</v>
      </c>
      <c r="B363" s="293" t="s">
        <v>218</v>
      </c>
      <c r="C363" s="23" t="s">
        <v>34</v>
      </c>
      <c r="D363" s="23" t="s">
        <v>74</v>
      </c>
      <c r="E363" s="36" t="s">
        <v>105</v>
      </c>
      <c r="F363" s="31"/>
      <c r="G363" s="260">
        <f>G364</f>
        <v>4489654.05</v>
      </c>
      <c r="H363" s="260">
        <f t="shared" ref="H363:I364" si="126">H364</f>
        <v>4669240.21</v>
      </c>
      <c r="I363" s="260">
        <f t="shared" si="126"/>
        <v>4856009.82</v>
      </c>
      <c r="J363" s="254"/>
      <c r="K363" s="335"/>
    </row>
    <row r="364" spans="1:12" s="44" customFormat="1" ht="15" x14ac:dyDescent="0.2">
      <c r="A364" s="32" t="s">
        <v>650</v>
      </c>
      <c r="B364" s="292">
        <v>701</v>
      </c>
      <c r="C364" s="23" t="s">
        <v>34</v>
      </c>
      <c r="D364" s="23" t="s">
        <v>74</v>
      </c>
      <c r="E364" s="36" t="s">
        <v>649</v>
      </c>
      <c r="F364" s="31"/>
      <c r="G364" s="260">
        <f>G365</f>
        <v>4489654.05</v>
      </c>
      <c r="H364" s="260">
        <f t="shared" si="126"/>
        <v>4669240.21</v>
      </c>
      <c r="I364" s="260">
        <f t="shared" si="126"/>
        <v>4856009.82</v>
      </c>
      <c r="J364" s="254"/>
    </row>
    <row r="365" spans="1:12" s="44" customFormat="1" ht="15" x14ac:dyDescent="0.2">
      <c r="A365" s="32" t="s">
        <v>52</v>
      </c>
      <c r="B365" s="293" t="s">
        <v>218</v>
      </c>
      <c r="C365" s="23" t="s">
        <v>34</v>
      </c>
      <c r="D365" s="23" t="s">
        <v>74</v>
      </c>
      <c r="E365" s="36" t="s">
        <v>649</v>
      </c>
      <c r="F365" s="31">
        <v>300</v>
      </c>
      <c r="G365" s="260">
        <v>4489654.05</v>
      </c>
      <c r="H365" s="260">
        <v>4669240.21</v>
      </c>
      <c r="I365" s="260">
        <v>4856009.82</v>
      </c>
      <c r="J365" s="254"/>
    </row>
    <row r="366" spans="1:12" s="44" customFormat="1" ht="30" x14ac:dyDescent="0.2">
      <c r="A366" s="32" t="s">
        <v>196</v>
      </c>
      <c r="B366" s="292">
        <v>701</v>
      </c>
      <c r="C366" s="23" t="s">
        <v>34</v>
      </c>
      <c r="D366" s="23" t="s">
        <v>74</v>
      </c>
      <c r="E366" s="36" t="s">
        <v>105</v>
      </c>
      <c r="F366" s="31"/>
      <c r="G366" s="260">
        <f>G367</f>
        <v>1155172.3999999999</v>
      </c>
      <c r="H366" s="260">
        <f t="shared" ref="H366:I367" si="127">H367</f>
        <v>1201379.3</v>
      </c>
      <c r="I366" s="260">
        <f t="shared" si="127"/>
        <v>1249434.47</v>
      </c>
      <c r="J366" s="254"/>
    </row>
    <row r="367" spans="1:12" s="44" customFormat="1" ht="15" x14ac:dyDescent="0.2">
      <c r="A367" s="32" t="s">
        <v>652</v>
      </c>
      <c r="B367" s="293" t="s">
        <v>218</v>
      </c>
      <c r="C367" s="23" t="s">
        <v>34</v>
      </c>
      <c r="D367" s="23" t="s">
        <v>74</v>
      </c>
      <c r="E367" s="36" t="s">
        <v>651</v>
      </c>
      <c r="F367" s="31"/>
      <c r="G367" s="260">
        <f>G368</f>
        <v>1155172.3999999999</v>
      </c>
      <c r="H367" s="260">
        <f t="shared" si="127"/>
        <v>1201379.3</v>
      </c>
      <c r="I367" s="260">
        <f t="shared" si="127"/>
        <v>1249434.47</v>
      </c>
      <c r="J367" s="254"/>
    </row>
    <row r="368" spans="1:12" s="44" customFormat="1" ht="15" x14ac:dyDescent="0.2">
      <c r="A368" s="32" t="s">
        <v>52</v>
      </c>
      <c r="B368" s="292">
        <v>701</v>
      </c>
      <c r="C368" s="23" t="s">
        <v>34</v>
      </c>
      <c r="D368" s="23" t="s">
        <v>74</v>
      </c>
      <c r="E368" s="36" t="s">
        <v>651</v>
      </c>
      <c r="F368" s="31">
        <v>300</v>
      </c>
      <c r="G368" s="260">
        <v>1155172.3999999999</v>
      </c>
      <c r="H368" s="260">
        <v>1201379.3</v>
      </c>
      <c r="I368" s="260">
        <v>1249434.47</v>
      </c>
      <c r="J368" s="254"/>
    </row>
    <row r="369" spans="1:15" s="45" customFormat="1" ht="15" x14ac:dyDescent="0.2">
      <c r="A369" s="235" t="s">
        <v>50</v>
      </c>
      <c r="B369" s="293" t="s">
        <v>218</v>
      </c>
      <c r="C369" s="23" t="s">
        <v>34</v>
      </c>
      <c r="D369" s="23" t="s">
        <v>74</v>
      </c>
      <c r="E369" s="36" t="s">
        <v>89</v>
      </c>
      <c r="F369" s="31"/>
      <c r="G369" s="260">
        <f>G372+G378+G370</f>
        <v>98280699.950000003</v>
      </c>
      <c r="H369" s="260">
        <f t="shared" ref="H369:I369" si="128">H372+H378+H370</f>
        <v>83379336.289999992</v>
      </c>
      <c r="I369" s="260">
        <f t="shared" si="128"/>
        <v>86926081.310000002</v>
      </c>
      <c r="J369" s="255"/>
    </row>
    <row r="370" spans="1:15" s="45" customFormat="1" ht="75" x14ac:dyDescent="0.2">
      <c r="A370" s="235" t="s">
        <v>22</v>
      </c>
      <c r="B370" s="293">
        <v>701</v>
      </c>
      <c r="C370" s="23" t="s">
        <v>34</v>
      </c>
      <c r="D370" s="23" t="s">
        <v>74</v>
      </c>
      <c r="E370" s="36" t="s">
        <v>689</v>
      </c>
      <c r="F370" s="31"/>
      <c r="G370" s="260">
        <f>G371</f>
        <v>482483.5</v>
      </c>
      <c r="H370" s="260">
        <f t="shared" ref="H370:I370" si="129">H371</f>
        <v>0</v>
      </c>
      <c r="I370" s="260">
        <f t="shared" si="129"/>
        <v>0</v>
      </c>
      <c r="J370" s="255"/>
    </row>
    <row r="371" spans="1:15" s="45" customFormat="1" ht="15" x14ac:dyDescent="0.2">
      <c r="A371" s="235" t="s">
        <v>52</v>
      </c>
      <c r="B371" s="293" t="s">
        <v>218</v>
      </c>
      <c r="C371" s="23" t="s">
        <v>34</v>
      </c>
      <c r="D371" s="23" t="s">
        <v>74</v>
      </c>
      <c r="E371" s="36" t="s">
        <v>689</v>
      </c>
      <c r="F371" s="31">
        <v>300</v>
      </c>
      <c r="G371" s="260">
        <f>238884.45+243599.05</f>
        <v>482483.5</v>
      </c>
      <c r="H371" s="260">
        <v>0</v>
      </c>
      <c r="I371" s="260">
        <v>0</v>
      </c>
      <c r="J371" s="255"/>
      <c r="K371" s="336"/>
      <c r="L371" s="336"/>
    </row>
    <row r="372" spans="1:15" s="45" customFormat="1" ht="30" x14ac:dyDescent="0.2">
      <c r="A372" s="235" t="s">
        <v>643</v>
      </c>
      <c r="B372" s="292">
        <v>701</v>
      </c>
      <c r="C372" s="23" t="s">
        <v>34</v>
      </c>
      <c r="D372" s="23" t="s">
        <v>74</v>
      </c>
      <c r="E372" s="36">
        <v>5840022000</v>
      </c>
      <c r="F372" s="31"/>
      <c r="G372" s="260">
        <f>SUM(G373:G377)</f>
        <v>68311203.450000003</v>
      </c>
      <c r="H372" s="260">
        <f t="shared" ref="H372:I372" si="130">SUM(H373:H377)</f>
        <v>69569570.449999988</v>
      </c>
      <c r="I372" s="260">
        <f t="shared" si="130"/>
        <v>72563924.840000004</v>
      </c>
      <c r="J372" s="255"/>
    </row>
    <row r="373" spans="1:15" s="44" customFormat="1" ht="75.75" x14ac:dyDescent="0.25">
      <c r="A373" s="32" t="s">
        <v>22</v>
      </c>
      <c r="B373" s="293" t="s">
        <v>218</v>
      </c>
      <c r="C373" s="23" t="s">
        <v>34</v>
      </c>
      <c r="D373" s="23" t="s">
        <v>74</v>
      </c>
      <c r="E373" s="36">
        <v>5840022000</v>
      </c>
      <c r="F373" s="31">
        <v>100</v>
      </c>
      <c r="G373" s="261">
        <f>57069348.27-182080-307469-66880-122510+492275</f>
        <v>56882684.270000003</v>
      </c>
      <c r="H373" s="261">
        <v>57210710.509999998</v>
      </c>
      <c r="I373" s="261">
        <v>58210710.509999998</v>
      </c>
      <c r="J373" s="254"/>
      <c r="K373" s="337"/>
      <c r="L373" s="337"/>
      <c r="M373" s="335"/>
      <c r="N373" s="337"/>
      <c r="O373" s="335"/>
    </row>
    <row r="374" spans="1:15" s="44" customFormat="1" ht="30" x14ac:dyDescent="0.2">
      <c r="A374" s="22" t="s">
        <v>26</v>
      </c>
      <c r="B374" s="292">
        <v>701</v>
      </c>
      <c r="C374" s="23" t="s">
        <v>34</v>
      </c>
      <c r="D374" s="23" t="s">
        <v>74</v>
      </c>
      <c r="E374" s="36">
        <v>5840022000</v>
      </c>
      <c r="F374" s="31">
        <v>200</v>
      </c>
      <c r="G374" s="261">
        <f>7483519.18-55000</f>
        <v>7428519.1799999997</v>
      </c>
      <c r="H374" s="261">
        <v>8198859.9400000004</v>
      </c>
      <c r="I374" s="261">
        <v>10026814.33</v>
      </c>
      <c r="J374" s="254"/>
    </row>
    <row r="375" spans="1:15" s="44" customFormat="1" ht="15" hidden="1" x14ac:dyDescent="0.2">
      <c r="A375" s="32" t="s">
        <v>52</v>
      </c>
      <c r="B375" s="293" t="s">
        <v>218</v>
      </c>
      <c r="C375" s="23" t="s">
        <v>34</v>
      </c>
      <c r="D375" s="23" t="s">
        <v>74</v>
      </c>
      <c r="E375" s="36" t="s">
        <v>89</v>
      </c>
      <c r="F375" s="31">
        <v>300</v>
      </c>
      <c r="G375" s="261">
        <v>0</v>
      </c>
      <c r="H375" s="261">
        <v>0</v>
      </c>
      <c r="I375" s="261">
        <v>0</v>
      </c>
      <c r="J375" s="254"/>
    </row>
    <row r="376" spans="1:15" s="44" customFormat="1" ht="30" hidden="1" x14ac:dyDescent="0.2">
      <c r="A376" s="32" t="s">
        <v>54</v>
      </c>
      <c r="B376" s="292">
        <v>701</v>
      </c>
      <c r="C376" s="23" t="s">
        <v>34</v>
      </c>
      <c r="D376" s="23" t="s">
        <v>74</v>
      </c>
      <c r="E376" s="36" t="s">
        <v>89</v>
      </c>
      <c r="F376" s="31">
        <v>600</v>
      </c>
      <c r="G376" s="261">
        <v>0</v>
      </c>
      <c r="H376" s="261">
        <v>0</v>
      </c>
      <c r="I376" s="261">
        <v>0</v>
      </c>
      <c r="J376" s="254"/>
    </row>
    <row r="377" spans="1:15" s="45" customFormat="1" ht="15" x14ac:dyDescent="0.2">
      <c r="A377" s="32" t="s">
        <v>28</v>
      </c>
      <c r="B377" s="293" t="s">
        <v>218</v>
      </c>
      <c r="C377" s="23" t="s">
        <v>34</v>
      </c>
      <c r="D377" s="23" t="s">
        <v>74</v>
      </c>
      <c r="E377" s="36">
        <v>5840022000</v>
      </c>
      <c r="F377" s="31">
        <v>800</v>
      </c>
      <c r="G377" s="261">
        <v>4000000</v>
      </c>
      <c r="H377" s="261">
        <v>4160000</v>
      </c>
      <c r="I377" s="261">
        <v>4326400</v>
      </c>
      <c r="J377" s="255"/>
    </row>
    <row r="378" spans="1:15" s="45" customFormat="1" ht="45" x14ac:dyDescent="0.2">
      <c r="A378" s="32" t="s">
        <v>485</v>
      </c>
      <c r="B378" s="292">
        <v>701</v>
      </c>
      <c r="C378" s="23" t="s">
        <v>34</v>
      </c>
      <c r="D378" s="23" t="s">
        <v>74</v>
      </c>
      <c r="E378" s="36" t="s">
        <v>644</v>
      </c>
      <c r="F378" s="31"/>
      <c r="G378" s="261">
        <f>G379</f>
        <v>29487013</v>
      </c>
      <c r="H378" s="261">
        <f t="shared" ref="H378:I378" si="131">H379</f>
        <v>13809765.84</v>
      </c>
      <c r="I378" s="261">
        <f t="shared" si="131"/>
        <v>14362156.470000001</v>
      </c>
      <c r="J378" s="255"/>
    </row>
    <row r="379" spans="1:15" s="45" customFormat="1" ht="15" x14ac:dyDescent="0.2">
      <c r="A379" s="32" t="s">
        <v>28</v>
      </c>
      <c r="B379" s="292">
        <v>701</v>
      </c>
      <c r="C379" s="23" t="s">
        <v>34</v>
      </c>
      <c r="D379" s="23" t="s">
        <v>74</v>
      </c>
      <c r="E379" s="36" t="s">
        <v>644</v>
      </c>
      <c r="F379" s="31">
        <v>800</v>
      </c>
      <c r="G379" s="261">
        <f>13278621+16208392</f>
        <v>29487013</v>
      </c>
      <c r="H379" s="261">
        <v>13809765.84</v>
      </c>
      <c r="I379" s="261">
        <v>14362156.470000001</v>
      </c>
      <c r="J379" s="255"/>
      <c r="K379" s="336"/>
    </row>
    <row r="380" spans="1:15" s="44" customFormat="1" x14ac:dyDescent="0.25">
      <c r="A380" s="18" t="s">
        <v>18</v>
      </c>
      <c r="B380" s="293" t="s">
        <v>218</v>
      </c>
      <c r="C380" s="19" t="s">
        <v>34</v>
      </c>
      <c r="D380" s="19" t="s">
        <v>74</v>
      </c>
      <c r="E380" s="39" t="s">
        <v>19</v>
      </c>
      <c r="F380" s="30"/>
      <c r="G380" s="42">
        <f t="shared" ref="G380:I381" si="132">G381</f>
        <v>2994131.29</v>
      </c>
      <c r="H380" s="42">
        <f t="shared" si="132"/>
        <v>0</v>
      </c>
      <c r="I380" s="42">
        <f t="shared" si="132"/>
        <v>0</v>
      </c>
      <c r="J380" s="254"/>
    </row>
    <row r="381" spans="1:15" s="45" customFormat="1" ht="15" x14ac:dyDescent="0.2">
      <c r="A381" s="22" t="s">
        <v>56</v>
      </c>
      <c r="B381" s="292">
        <v>701</v>
      </c>
      <c r="C381" s="23" t="s">
        <v>34</v>
      </c>
      <c r="D381" s="23" t="s">
        <v>74</v>
      </c>
      <c r="E381" s="40" t="s">
        <v>38</v>
      </c>
      <c r="F381" s="31"/>
      <c r="G381" s="28">
        <f t="shared" si="132"/>
        <v>2994131.29</v>
      </c>
      <c r="H381" s="28">
        <f t="shared" si="132"/>
        <v>0</v>
      </c>
      <c r="I381" s="28">
        <f t="shared" si="132"/>
        <v>0</v>
      </c>
      <c r="J381" s="255"/>
    </row>
    <row r="382" spans="1:15" s="45" customFormat="1" ht="30" x14ac:dyDescent="0.2">
      <c r="A382" s="32" t="s">
        <v>54</v>
      </c>
      <c r="B382" s="293" t="s">
        <v>218</v>
      </c>
      <c r="C382" s="23" t="s">
        <v>34</v>
      </c>
      <c r="D382" s="23" t="s">
        <v>74</v>
      </c>
      <c r="E382" s="40" t="s">
        <v>167</v>
      </c>
      <c r="F382" s="31">
        <v>600</v>
      </c>
      <c r="G382" s="28">
        <f>'Приложение 2'!F183</f>
        <v>2994131.29</v>
      </c>
      <c r="H382" s="28">
        <f>'Приложение 2'!G183</f>
        <v>0</v>
      </c>
      <c r="I382" s="28">
        <f>'Приложение 2'!H183</f>
        <v>0</v>
      </c>
      <c r="J382" s="255"/>
    </row>
    <row r="383" spans="1:15" s="44" customFormat="1" x14ac:dyDescent="0.25">
      <c r="A383" s="34" t="s">
        <v>106</v>
      </c>
      <c r="B383" s="292">
        <v>701</v>
      </c>
      <c r="C383" s="19" t="s">
        <v>69</v>
      </c>
      <c r="D383" s="19"/>
      <c r="E383" s="30"/>
      <c r="F383" s="30"/>
      <c r="G383" s="20">
        <f>G384+G411</f>
        <v>259369207.94999999</v>
      </c>
      <c r="H383" s="20">
        <f>H384+H411</f>
        <v>524989257.71999997</v>
      </c>
      <c r="I383" s="20">
        <f>I384+I411</f>
        <v>255455135.61508229</v>
      </c>
      <c r="J383" s="254"/>
      <c r="K383" s="271"/>
      <c r="L383" s="271"/>
      <c r="M383" s="271"/>
    </row>
    <row r="384" spans="1:15" s="44" customFormat="1" x14ac:dyDescent="0.25">
      <c r="A384" s="34" t="s">
        <v>107</v>
      </c>
      <c r="B384" s="293" t="s">
        <v>218</v>
      </c>
      <c r="C384" s="19" t="s">
        <v>69</v>
      </c>
      <c r="D384" s="19" t="s">
        <v>15</v>
      </c>
      <c r="E384" s="30"/>
      <c r="F384" s="30"/>
      <c r="G384" s="20">
        <f>G385</f>
        <v>228543638.94999999</v>
      </c>
      <c r="H384" s="20">
        <f t="shared" ref="H384:I384" si="133">H385</f>
        <v>493901549.14999998</v>
      </c>
      <c r="I384" s="20">
        <f t="shared" si="133"/>
        <v>224056495.2050823</v>
      </c>
      <c r="J384" s="254"/>
      <c r="K384" s="271"/>
      <c r="L384" s="271"/>
      <c r="M384" s="271"/>
    </row>
    <row r="385" spans="1:14" s="45" customFormat="1" x14ac:dyDescent="0.25">
      <c r="A385" s="34" t="s">
        <v>95</v>
      </c>
      <c r="B385" s="292">
        <v>701</v>
      </c>
      <c r="C385" s="19" t="s">
        <v>69</v>
      </c>
      <c r="D385" s="19" t="s">
        <v>15</v>
      </c>
      <c r="E385" s="35" t="s">
        <v>96</v>
      </c>
      <c r="F385" s="30"/>
      <c r="G385" s="20">
        <f>G386+G388+G402</f>
        <v>228543638.94999999</v>
      </c>
      <c r="H385" s="20">
        <f>H386+H388+H402</f>
        <v>493901549.14999998</v>
      </c>
      <c r="I385" s="20">
        <f>I386+I388+I402</f>
        <v>224056495.2050823</v>
      </c>
      <c r="J385" s="255"/>
      <c r="K385" s="271"/>
      <c r="L385" s="271"/>
      <c r="M385" s="271"/>
    </row>
    <row r="386" spans="1:14" s="45" customFormat="1" ht="30" hidden="1" x14ac:dyDescent="0.2">
      <c r="A386" s="32" t="s">
        <v>91</v>
      </c>
      <c r="B386" s="293" t="s">
        <v>218</v>
      </c>
      <c r="C386" s="23" t="s">
        <v>69</v>
      </c>
      <c r="D386" s="23" t="s">
        <v>15</v>
      </c>
      <c r="E386" s="100" t="s">
        <v>108</v>
      </c>
      <c r="F386" s="46"/>
      <c r="G386" s="24">
        <f>G387</f>
        <v>0</v>
      </c>
      <c r="H386" s="24">
        <f>H387</f>
        <v>0</v>
      </c>
      <c r="I386" s="24">
        <f>I387</f>
        <v>0</v>
      </c>
      <c r="J386" s="255"/>
      <c r="K386" s="271"/>
      <c r="L386" s="271"/>
      <c r="M386" s="271"/>
    </row>
    <row r="387" spans="1:14" s="45" customFormat="1" ht="30" hidden="1" x14ac:dyDescent="0.2">
      <c r="A387" s="22" t="s">
        <v>26</v>
      </c>
      <c r="B387" s="292">
        <v>701</v>
      </c>
      <c r="C387" s="23" t="s">
        <v>69</v>
      </c>
      <c r="D387" s="23" t="s">
        <v>15</v>
      </c>
      <c r="E387" s="100" t="s">
        <v>108</v>
      </c>
      <c r="F387" s="46">
        <v>200</v>
      </c>
      <c r="G387" s="24">
        <v>0</v>
      </c>
      <c r="H387" s="24">
        <v>0</v>
      </c>
      <c r="I387" s="28"/>
      <c r="J387" s="255"/>
      <c r="K387" s="271"/>
      <c r="L387" s="271"/>
      <c r="M387" s="271"/>
    </row>
    <row r="388" spans="1:14" s="44" customFormat="1" x14ac:dyDescent="0.25">
      <c r="A388" s="18" t="s">
        <v>43</v>
      </c>
      <c r="B388" s="293" t="s">
        <v>218</v>
      </c>
      <c r="C388" s="23" t="s">
        <v>69</v>
      </c>
      <c r="D388" s="23" t="s">
        <v>15</v>
      </c>
      <c r="E388" s="36" t="s">
        <v>109</v>
      </c>
      <c r="F388" s="70"/>
      <c r="G388" s="20">
        <f>G389+G394+G399</f>
        <v>106815811.42</v>
      </c>
      <c r="H388" s="20">
        <f t="shared" ref="H388:I388" si="134">H389+H394+H399</f>
        <v>368483174.5</v>
      </c>
      <c r="I388" s="20">
        <f t="shared" si="134"/>
        <v>97333933.709999993</v>
      </c>
      <c r="J388" s="254"/>
      <c r="K388" s="271"/>
      <c r="L388" s="271"/>
      <c r="M388" s="271"/>
    </row>
    <row r="389" spans="1:14" s="45" customFormat="1" ht="30" x14ac:dyDescent="0.2">
      <c r="A389" s="22" t="s">
        <v>212</v>
      </c>
      <c r="B389" s="292">
        <v>701</v>
      </c>
      <c r="C389" s="23" t="s">
        <v>69</v>
      </c>
      <c r="D389" s="23" t="s">
        <v>15</v>
      </c>
      <c r="E389" s="36" t="s">
        <v>109</v>
      </c>
      <c r="F389" s="46"/>
      <c r="G389" s="260">
        <f>G390+G392</f>
        <v>5639850</v>
      </c>
      <c r="H389" s="260">
        <f t="shared" ref="H389:I389" si="135">H390+H392</f>
        <v>7639213.5</v>
      </c>
      <c r="I389" s="260">
        <f t="shared" si="135"/>
        <v>7953872</v>
      </c>
      <c r="J389" s="255"/>
    </row>
    <row r="390" spans="1:14" s="45" customFormat="1" ht="30" x14ac:dyDescent="0.2">
      <c r="A390" s="22" t="s">
        <v>611</v>
      </c>
      <c r="B390" s="293" t="s">
        <v>218</v>
      </c>
      <c r="C390" s="23" t="s">
        <v>69</v>
      </c>
      <c r="D390" s="23" t="s">
        <v>15</v>
      </c>
      <c r="E390" s="36" t="s">
        <v>612</v>
      </c>
      <c r="F390" s="46"/>
      <c r="G390" s="260">
        <f>G391</f>
        <v>4042850</v>
      </c>
      <c r="H390" s="260">
        <f t="shared" ref="H390:I390" si="136">H391</f>
        <v>5650088.5</v>
      </c>
      <c r="I390" s="260">
        <f t="shared" si="136"/>
        <v>5872205.4800000004</v>
      </c>
      <c r="J390" s="255"/>
    </row>
    <row r="391" spans="1:14" s="45" customFormat="1" ht="30" x14ac:dyDescent="0.2">
      <c r="A391" s="22" t="s">
        <v>26</v>
      </c>
      <c r="B391" s="292">
        <v>701</v>
      </c>
      <c r="C391" s="23" t="s">
        <v>69</v>
      </c>
      <c r="D391" s="23" t="s">
        <v>15</v>
      </c>
      <c r="E391" s="36" t="s">
        <v>612</v>
      </c>
      <c r="F391" s="46">
        <v>200</v>
      </c>
      <c r="G391" s="260">
        <f>3662850+380000</f>
        <v>4042850</v>
      </c>
      <c r="H391" s="260">
        <v>5650088.5</v>
      </c>
      <c r="I391" s="260">
        <v>5872205.4800000004</v>
      </c>
      <c r="J391" s="255"/>
      <c r="K391" s="336"/>
    </row>
    <row r="392" spans="1:14" s="45" customFormat="1" ht="30" x14ac:dyDescent="0.2">
      <c r="A392" s="22" t="s">
        <v>613</v>
      </c>
      <c r="B392" s="293" t="s">
        <v>218</v>
      </c>
      <c r="C392" s="23" t="s">
        <v>69</v>
      </c>
      <c r="D392" s="23" t="s">
        <v>15</v>
      </c>
      <c r="E392" s="36" t="s">
        <v>614</v>
      </c>
      <c r="F392" s="46"/>
      <c r="G392" s="260">
        <f>G393</f>
        <v>1597000</v>
      </c>
      <c r="H392" s="260">
        <f t="shared" ref="H392:I392" si="137">H393</f>
        <v>1989125</v>
      </c>
      <c r="I392" s="260">
        <f t="shared" si="137"/>
        <v>2081666.52</v>
      </c>
      <c r="J392" s="255"/>
    </row>
    <row r="393" spans="1:14" s="45" customFormat="1" ht="30" x14ac:dyDescent="0.2">
      <c r="A393" s="152" t="s">
        <v>26</v>
      </c>
      <c r="B393" s="292">
        <v>701</v>
      </c>
      <c r="C393" s="23" t="s">
        <v>69</v>
      </c>
      <c r="D393" s="23" t="s">
        <v>15</v>
      </c>
      <c r="E393" s="36" t="s">
        <v>614</v>
      </c>
      <c r="F393" s="46">
        <v>200</v>
      </c>
      <c r="G393" s="260">
        <v>1597000</v>
      </c>
      <c r="H393" s="260">
        <v>1989125</v>
      </c>
      <c r="I393" s="260">
        <v>2081666.52</v>
      </c>
      <c r="J393" s="255"/>
    </row>
    <row r="394" spans="1:14" s="45" customFormat="1" ht="60" x14ac:dyDescent="0.2">
      <c r="A394" s="152" t="s">
        <v>615</v>
      </c>
      <c r="B394" s="293" t="s">
        <v>218</v>
      </c>
      <c r="C394" s="23" t="s">
        <v>69</v>
      </c>
      <c r="D394" s="23" t="s">
        <v>15</v>
      </c>
      <c r="E394" s="36" t="s">
        <v>109</v>
      </c>
      <c r="F394" s="46"/>
      <c r="G394" s="260">
        <f>G395+G397</f>
        <v>100357961.42</v>
      </c>
      <c r="H394" s="260">
        <f t="shared" ref="H394:I394" si="138">H395+H397</f>
        <v>360000000</v>
      </c>
      <c r="I394" s="260">
        <f t="shared" si="138"/>
        <v>88508250</v>
      </c>
      <c r="J394" s="255"/>
    </row>
    <row r="395" spans="1:14" s="45" customFormat="1" ht="30" x14ac:dyDescent="0.2">
      <c r="A395" s="152" t="s">
        <v>616</v>
      </c>
      <c r="B395" s="292">
        <v>701</v>
      </c>
      <c r="C395" s="23" t="s">
        <v>69</v>
      </c>
      <c r="D395" s="23" t="s">
        <v>15</v>
      </c>
      <c r="E395" s="36" t="s">
        <v>617</v>
      </c>
      <c r="F395" s="46"/>
      <c r="G395" s="260">
        <f>G396</f>
        <v>50000000</v>
      </c>
      <c r="H395" s="260">
        <f t="shared" ref="H395:I395" si="139">H396</f>
        <v>160000000</v>
      </c>
      <c r="I395" s="260">
        <f t="shared" si="139"/>
        <v>41741300</v>
      </c>
      <c r="J395" s="255"/>
    </row>
    <row r="396" spans="1:14" s="45" customFormat="1" ht="30" x14ac:dyDescent="0.2">
      <c r="A396" s="152" t="s">
        <v>48</v>
      </c>
      <c r="B396" s="292">
        <v>701</v>
      </c>
      <c r="C396" s="287" t="s">
        <v>69</v>
      </c>
      <c r="D396" s="287" t="s">
        <v>15</v>
      </c>
      <c r="E396" s="36" t="s">
        <v>617</v>
      </c>
      <c r="F396" s="46">
        <v>400</v>
      </c>
      <c r="G396" s="260">
        <v>50000000</v>
      </c>
      <c r="H396" s="260">
        <v>160000000</v>
      </c>
      <c r="I396" s="260">
        <v>41741300</v>
      </c>
      <c r="J396" s="255"/>
      <c r="K396" s="336"/>
      <c r="L396" s="336"/>
      <c r="M396" s="336"/>
      <c r="N396" s="336"/>
    </row>
    <row r="397" spans="1:14" s="45" customFormat="1" ht="30" x14ac:dyDescent="0.2">
      <c r="A397" s="152" t="s">
        <v>619</v>
      </c>
      <c r="B397" s="293" t="s">
        <v>218</v>
      </c>
      <c r="C397" s="23" t="s">
        <v>69</v>
      </c>
      <c r="D397" s="23" t="s">
        <v>15</v>
      </c>
      <c r="E397" s="36" t="s">
        <v>618</v>
      </c>
      <c r="F397" s="46"/>
      <c r="G397" s="260">
        <f>G398</f>
        <v>50357961.420000002</v>
      </c>
      <c r="H397" s="260">
        <f t="shared" ref="H397:I397" si="140">H398</f>
        <v>200000000</v>
      </c>
      <c r="I397" s="260">
        <f t="shared" si="140"/>
        <v>46766950</v>
      </c>
      <c r="J397" s="255"/>
      <c r="K397" s="336"/>
      <c r="L397" s="336"/>
      <c r="M397" s="336"/>
      <c r="N397" s="336"/>
    </row>
    <row r="398" spans="1:14" s="45" customFormat="1" ht="30" x14ac:dyDescent="0.2">
      <c r="A398" s="22" t="s">
        <v>48</v>
      </c>
      <c r="B398" s="292">
        <v>701</v>
      </c>
      <c r="C398" s="23" t="s">
        <v>69</v>
      </c>
      <c r="D398" s="23" t="s">
        <v>15</v>
      </c>
      <c r="E398" s="36" t="s">
        <v>618</v>
      </c>
      <c r="F398" s="46">
        <v>400</v>
      </c>
      <c r="G398" s="260">
        <f>50000000+357961.42</f>
        <v>50357961.420000002</v>
      </c>
      <c r="H398" s="260">
        <v>200000000</v>
      </c>
      <c r="I398" s="260">
        <v>46766950</v>
      </c>
      <c r="J398" s="255"/>
      <c r="K398" s="336"/>
      <c r="L398" s="336"/>
      <c r="M398" s="336"/>
      <c r="N398" s="336"/>
    </row>
    <row r="399" spans="1:14" s="45" customFormat="1" ht="45" x14ac:dyDescent="0.2">
      <c r="A399" s="32" t="s">
        <v>211</v>
      </c>
      <c r="B399" s="293" t="s">
        <v>218</v>
      </c>
      <c r="C399" s="23" t="s">
        <v>69</v>
      </c>
      <c r="D399" s="23" t="s">
        <v>15</v>
      </c>
      <c r="E399" s="36" t="s">
        <v>109</v>
      </c>
      <c r="F399" s="31"/>
      <c r="G399" s="260">
        <f>G400</f>
        <v>818000</v>
      </c>
      <c r="H399" s="260">
        <f t="shared" ref="H399:I400" si="141">H400</f>
        <v>843960.99999999988</v>
      </c>
      <c r="I399" s="260">
        <f t="shared" si="141"/>
        <v>871811.71</v>
      </c>
      <c r="J399" s="255"/>
      <c r="K399" s="336"/>
      <c r="L399" s="336"/>
      <c r="M399" s="336"/>
      <c r="N399" s="336"/>
    </row>
    <row r="400" spans="1:14" s="45" customFormat="1" ht="15" x14ac:dyDescent="0.2">
      <c r="A400" s="32" t="s">
        <v>609</v>
      </c>
      <c r="B400" s="292">
        <v>701</v>
      </c>
      <c r="C400" s="23" t="s">
        <v>69</v>
      </c>
      <c r="D400" s="23" t="s">
        <v>15</v>
      </c>
      <c r="E400" s="36" t="s">
        <v>610</v>
      </c>
      <c r="F400" s="31"/>
      <c r="G400" s="260">
        <f>G401</f>
        <v>818000</v>
      </c>
      <c r="H400" s="260">
        <f t="shared" si="141"/>
        <v>843960.99999999988</v>
      </c>
      <c r="I400" s="260">
        <f t="shared" si="141"/>
        <v>871811.71</v>
      </c>
      <c r="J400" s="255"/>
      <c r="K400" s="336"/>
      <c r="L400" s="336"/>
      <c r="M400" s="336"/>
      <c r="N400" s="336"/>
    </row>
    <row r="401" spans="1:14" s="44" customFormat="1" ht="30" x14ac:dyDescent="0.2">
      <c r="A401" s="22" t="s">
        <v>26</v>
      </c>
      <c r="B401" s="293" t="s">
        <v>218</v>
      </c>
      <c r="C401" s="23" t="s">
        <v>69</v>
      </c>
      <c r="D401" s="23" t="s">
        <v>15</v>
      </c>
      <c r="E401" s="36" t="s">
        <v>610</v>
      </c>
      <c r="F401" s="31">
        <v>200</v>
      </c>
      <c r="G401" s="260">
        <v>818000</v>
      </c>
      <c r="H401" s="260">
        <v>843960.99999999988</v>
      </c>
      <c r="I401" s="260">
        <v>871811.71</v>
      </c>
      <c r="J401" s="254"/>
      <c r="K401" s="335"/>
      <c r="L401" s="335"/>
      <c r="M401" s="335"/>
      <c r="N401" s="335"/>
    </row>
    <row r="402" spans="1:14" s="45" customFormat="1" ht="15" x14ac:dyDescent="0.2">
      <c r="A402" s="236" t="s">
        <v>50</v>
      </c>
      <c r="B402" s="292">
        <v>701</v>
      </c>
      <c r="C402" s="23" t="s">
        <v>69</v>
      </c>
      <c r="D402" s="23" t="s">
        <v>15</v>
      </c>
      <c r="E402" s="36" t="s">
        <v>98</v>
      </c>
      <c r="F402" s="31"/>
      <c r="G402" s="260">
        <f>G403+G407</f>
        <v>121727827.53</v>
      </c>
      <c r="H402" s="260">
        <f t="shared" ref="H402:I402" si="142">H403+H407</f>
        <v>125418374.65000001</v>
      </c>
      <c r="I402" s="260">
        <f t="shared" si="142"/>
        <v>126722561.49508229</v>
      </c>
      <c r="J402" s="255"/>
      <c r="K402" s="343"/>
      <c r="L402" s="343"/>
      <c r="M402" s="343"/>
      <c r="N402" s="336"/>
    </row>
    <row r="403" spans="1:14" s="45" customFormat="1" ht="30" x14ac:dyDescent="0.2">
      <c r="A403" s="318" t="s">
        <v>603</v>
      </c>
      <c r="B403" s="293" t="s">
        <v>218</v>
      </c>
      <c r="C403" s="23" t="s">
        <v>69</v>
      </c>
      <c r="D403" s="23" t="s">
        <v>15</v>
      </c>
      <c r="E403" s="36" t="s">
        <v>606</v>
      </c>
      <c r="F403" s="31"/>
      <c r="G403" s="260">
        <f>SUM(G404:G406)</f>
        <v>96461616.969999999</v>
      </c>
      <c r="H403" s="260">
        <f t="shared" ref="H403:I403" si="143">SUM(H404:H406)</f>
        <v>99796086.410000011</v>
      </c>
      <c r="I403" s="260">
        <f t="shared" si="143"/>
        <v>100942947.27999999</v>
      </c>
      <c r="J403" s="255"/>
      <c r="K403" s="336"/>
      <c r="L403" s="336"/>
      <c r="M403" s="336"/>
      <c r="N403" s="336"/>
    </row>
    <row r="404" spans="1:14" s="45" customFormat="1" ht="75" x14ac:dyDescent="0.2">
      <c r="A404" s="32" t="s">
        <v>22</v>
      </c>
      <c r="B404" s="292">
        <v>701</v>
      </c>
      <c r="C404" s="23" t="s">
        <v>69</v>
      </c>
      <c r="D404" s="23" t="s">
        <v>15</v>
      </c>
      <c r="E404" s="36" t="s">
        <v>606</v>
      </c>
      <c r="F404" s="31">
        <v>100</v>
      </c>
      <c r="G404" s="322">
        <v>76437105.829999998</v>
      </c>
      <c r="H404" s="322">
        <v>76679041.260000005</v>
      </c>
      <c r="I404" s="322">
        <v>76920360.849999994</v>
      </c>
      <c r="J404" s="255"/>
      <c r="K404" s="343"/>
      <c r="L404" s="336"/>
      <c r="M404" s="336"/>
      <c r="N404" s="336"/>
    </row>
    <row r="405" spans="1:14" s="45" customFormat="1" ht="30" x14ac:dyDescent="0.2">
      <c r="A405" s="22" t="s">
        <v>26</v>
      </c>
      <c r="B405" s="293" t="s">
        <v>218</v>
      </c>
      <c r="C405" s="23" t="s">
        <v>69</v>
      </c>
      <c r="D405" s="23" t="s">
        <v>15</v>
      </c>
      <c r="E405" s="36" t="s">
        <v>606</v>
      </c>
      <c r="F405" s="31">
        <v>200</v>
      </c>
      <c r="G405" s="322">
        <v>19238172.34</v>
      </c>
      <c r="H405" s="322">
        <v>22330706.350000001</v>
      </c>
      <c r="I405" s="322">
        <v>23236247.629999999</v>
      </c>
      <c r="J405" s="255"/>
      <c r="K405" s="336"/>
      <c r="L405" s="336"/>
      <c r="M405" s="336"/>
      <c r="N405" s="336"/>
    </row>
    <row r="406" spans="1:14" s="45" customFormat="1" ht="15" x14ac:dyDescent="0.2">
      <c r="A406" s="32" t="s">
        <v>28</v>
      </c>
      <c r="B406" s="292">
        <v>701</v>
      </c>
      <c r="C406" s="23" t="s">
        <v>69</v>
      </c>
      <c r="D406" s="23" t="s">
        <v>15</v>
      </c>
      <c r="E406" s="36" t="s">
        <v>606</v>
      </c>
      <c r="F406" s="31">
        <v>800</v>
      </c>
      <c r="G406" s="322">
        <v>786338.8</v>
      </c>
      <c r="H406" s="322">
        <v>786338.8</v>
      </c>
      <c r="I406" s="322">
        <v>786338.8</v>
      </c>
      <c r="J406" s="255"/>
      <c r="K406" s="336"/>
      <c r="L406" s="336"/>
      <c r="M406" s="336"/>
      <c r="N406" s="336"/>
    </row>
    <row r="407" spans="1:14" s="45" customFormat="1" ht="30" x14ac:dyDescent="0.2">
      <c r="A407" s="32" t="s">
        <v>604</v>
      </c>
      <c r="B407" s="293" t="s">
        <v>218</v>
      </c>
      <c r="C407" s="23" t="s">
        <v>69</v>
      </c>
      <c r="D407" s="23" t="s">
        <v>15</v>
      </c>
      <c r="E407" s="36" t="s">
        <v>605</v>
      </c>
      <c r="F407" s="31"/>
      <c r="G407" s="322">
        <f>SUM(G408:G410)</f>
        <v>25266210.559999999</v>
      </c>
      <c r="H407" s="322">
        <f t="shared" ref="H407:I407" si="144">SUM(H408:H410)</f>
        <v>25622288.240000002</v>
      </c>
      <c r="I407" s="322">
        <f t="shared" si="144"/>
        <v>25779614.215082295</v>
      </c>
      <c r="J407" s="255"/>
      <c r="K407" s="336"/>
      <c r="L407" s="336"/>
      <c r="M407" s="336"/>
      <c r="N407" s="336"/>
    </row>
    <row r="408" spans="1:14" s="45" customFormat="1" ht="75" x14ac:dyDescent="0.2">
      <c r="A408" s="32" t="s">
        <v>22</v>
      </c>
      <c r="B408" s="292">
        <v>701</v>
      </c>
      <c r="C408" s="23" t="s">
        <v>69</v>
      </c>
      <c r="D408" s="23" t="s">
        <v>15</v>
      </c>
      <c r="E408" s="36" t="s">
        <v>605</v>
      </c>
      <c r="F408" s="31">
        <v>100</v>
      </c>
      <c r="G408" s="322">
        <v>23157720.939999998</v>
      </c>
      <c r="H408" s="322">
        <v>23224928.890000001</v>
      </c>
      <c r="I408" s="322">
        <v>23291965.756728999</v>
      </c>
      <c r="J408" s="255"/>
      <c r="K408" s="336"/>
      <c r="L408" s="336"/>
      <c r="M408" s="336"/>
      <c r="N408" s="336"/>
    </row>
    <row r="409" spans="1:14" s="45" customFormat="1" ht="30" x14ac:dyDescent="0.2">
      <c r="A409" s="32" t="s">
        <v>26</v>
      </c>
      <c r="B409" s="293" t="s">
        <v>218</v>
      </c>
      <c r="C409" s="23" t="s">
        <v>69</v>
      </c>
      <c r="D409" s="23" t="s">
        <v>15</v>
      </c>
      <c r="E409" s="36" t="s">
        <v>605</v>
      </c>
      <c r="F409" s="31">
        <v>200</v>
      </c>
      <c r="G409" s="322">
        <v>1976969.3</v>
      </c>
      <c r="H409" s="322">
        <v>2265839.0299999998</v>
      </c>
      <c r="I409" s="322">
        <v>2356128.1383532952</v>
      </c>
      <c r="J409" s="255"/>
      <c r="K409" s="336"/>
      <c r="L409" s="336"/>
      <c r="M409" s="336"/>
      <c r="N409" s="336"/>
    </row>
    <row r="410" spans="1:14" s="45" customFormat="1" ht="15" x14ac:dyDescent="0.2">
      <c r="A410" s="32" t="s">
        <v>28</v>
      </c>
      <c r="B410" s="292">
        <v>701</v>
      </c>
      <c r="C410" s="23" t="s">
        <v>69</v>
      </c>
      <c r="D410" s="23" t="s">
        <v>15</v>
      </c>
      <c r="E410" s="36" t="s">
        <v>605</v>
      </c>
      <c r="F410" s="31">
        <v>800</v>
      </c>
      <c r="G410" s="322">
        <v>131520.32000000001</v>
      </c>
      <c r="H410" s="322">
        <v>131520.32000000001</v>
      </c>
      <c r="I410" s="322">
        <v>131520.32000000001</v>
      </c>
      <c r="J410" s="255"/>
      <c r="K410" s="336"/>
      <c r="L410" s="336"/>
      <c r="M410" s="336"/>
      <c r="N410" s="336"/>
    </row>
    <row r="411" spans="1:14" s="44" customFormat="1" ht="31.5" x14ac:dyDescent="0.25">
      <c r="A411" s="34" t="s">
        <v>113</v>
      </c>
      <c r="B411" s="293" t="s">
        <v>218</v>
      </c>
      <c r="C411" s="19" t="s">
        <v>69</v>
      </c>
      <c r="D411" s="19" t="s">
        <v>30</v>
      </c>
      <c r="E411" s="30"/>
      <c r="F411" s="30"/>
      <c r="G411" s="259">
        <f>G412+G419</f>
        <v>30825569</v>
      </c>
      <c r="H411" s="259">
        <f>H412+H419</f>
        <v>31087708.57</v>
      </c>
      <c r="I411" s="259">
        <f>I412+I419</f>
        <v>31398640.409999996</v>
      </c>
      <c r="J411" s="254"/>
      <c r="K411" s="335"/>
      <c r="L411" s="335"/>
      <c r="M411" s="335"/>
      <c r="N411" s="335"/>
    </row>
    <row r="412" spans="1:14" s="45" customFormat="1" x14ac:dyDescent="0.25">
      <c r="A412" s="34" t="s">
        <v>95</v>
      </c>
      <c r="B412" s="292">
        <v>701</v>
      </c>
      <c r="C412" s="19" t="s">
        <v>69</v>
      </c>
      <c r="D412" s="19" t="s">
        <v>30</v>
      </c>
      <c r="E412" s="35" t="s">
        <v>96</v>
      </c>
      <c r="F412" s="30"/>
      <c r="G412" s="260">
        <f>G413</f>
        <v>30665569</v>
      </c>
      <c r="H412" s="260">
        <f>H413</f>
        <v>31087708.57</v>
      </c>
      <c r="I412" s="260">
        <f>I413</f>
        <v>31398640.409999996</v>
      </c>
      <c r="J412" s="255"/>
      <c r="K412" s="336"/>
      <c r="L412" s="336"/>
      <c r="M412" s="336"/>
      <c r="N412" s="336"/>
    </row>
    <row r="413" spans="1:14" s="45" customFormat="1" ht="15" x14ac:dyDescent="0.2">
      <c r="A413" s="236" t="s">
        <v>50</v>
      </c>
      <c r="B413" s="292">
        <v>701</v>
      </c>
      <c r="C413" s="23" t="s">
        <v>69</v>
      </c>
      <c r="D413" s="23" t="s">
        <v>30</v>
      </c>
      <c r="E413" s="36" t="s">
        <v>98</v>
      </c>
      <c r="F413" s="31"/>
      <c r="G413" s="260">
        <f>SUM(G415:G418)</f>
        <v>30665569</v>
      </c>
      <c r="H413" s="260">
        <f>SUM(H415:H418)</f>
        <v>31087708.57</v>
      </c>
      <c r="I413" s="260">
        <f>SUM(I415:I418)</f>
        <v>31398640.409999996</v>
      </c>
      <c r="J413" s="255"/>
      <c r="K413" s="336"/>
      <c r="L413" s="336"/>
      <c r="M413" s="336"/>
      <c r="N413" s="336"/>
    </row>
    <row r="414" spans="1:14" s="45" customFormat="1" ht="30" x14ac:dyDescent="0.2">
      <c r="A414" s="318" t="s">
        <v>607</v>
      </c>
      <c r="B414" s="293" t="s">
        <v>218</v>
      </c>
      <c r="C414" s="23" t="s">
        <v>69</v>
      </c>
      <c r="D414" s="23" t="s">
        <v>30</v>
      </c>
      <c r="E414" s="36" t="s">
        <v>608</v>
      </c>
      <c r="F414" s="31"/>
      <c r="G414" s="260">
        <f>SUM(G415:G418)</f>
        <v>30665569</v>
      </c>
      <c r="H414" s="260">
        <f t="shared" ref="H414:I414" si="145">SUM(H415:H418)</f>
        <v>31087708.57</v>
      </c>
      <c r="I414" s="260">
        <f t="shared" si="145"/>
        <v>31398640.409999996</v>
      </c>
      <c r="J414" s="255"/>
      <c r="K414" s="336"/>
      <c r="L414" s="336"/>
      <c r="M414" s="336"/>
      <c r="N414" s="336"/>
    </row>
    <row r="415" spans="1:14" s="44" customFormat="1" ht="75" x14ac:dyDescent="0.2">
      <c r="A415" s="32" t="s">
        <v>22</v>
      </c>
      <c r="B415" s="292">
        <v>701</v>
      </c>
      <c r="C415" s="23" t="s">
        <v>69</v>
      </c>
      <c r="D415" s="23" t="s">
        <v>30</v>
      </c>
      <c r="E415" s="36" t="s">
        <v>691</v>
      </c>
      <c r="F415" s="31">
        <v>100</v>
      </c>
      <c r="G415" s="261">
        <v>25934801.149999999</v>
      </c>
      <c r="H415" s="261">
        <v>26048452.670000002</v>
      </c>
      <c r="I415" s="261">
        <v>26161814.899999999</v>
      </c>
      <c r="J415" s="254"/>
      <c r="K415" s="335"/>
      <c r="L415" s="335"/>
      <c r="M415" s="335"/>
      <c r="N415" s="335"/>
    </row>
    <row r="416" spans="1:14" s="47" customFormat="1" ht="30" x14ac:dyDescent="0.2">
      <c r="A416" s="22" t="s">
        <v>26</v>
      </c>
      <c r="B416" s="293" t="s">
        <v>218</v>
      </c>
      <c r="C416" s="23" t="s">
        <v>69</v>
      </c>
      <c r="D416" s="23" t="s">
        <v>30</v>
      </c>
      <c r="E416" s="36" t="s">
        <v>691</v>
      </c>
      <c r="F416" s="31">
        <v>200</v>
      </c>
      <c r="G416" s="261">
        <v>4730767.8499999996</v>
      </c>
      <c r="H416" s="261">
        <v>5039255.9000000004</v>
      </c>
      <c r="I416" s="261">
        <v>5236825.51</v>
      </c>
      <c r="J416" s="256"/>
      <c r="K416" s="338"/>
      <c r="L416" s="338"/>
      <c r="M416" s="338"/>
      <c r="N416" s="338"/>
    </row>
    <row r="417" spans="1:14" s="47" customFormat="1" ht="15" hidden="1" x14ac:dyDescent="0.2">
      <c r="A417" s="32" t="s">
        <v>52</v>
      </c>
      <c r="B417" s="292">
        <v>701</v>
      </c>
      <c r="C417" s="23" t="s">
        <v>69</v>
      </c>
      <c r="D417" s="23" t="s">
        <v>30</v>
      </c>
      <c r="E417" s="36" t="s">
        <v>98</v>
      </c>
      <c r="F417" s="31">
        <v>300</v>
      </c>
      <c r="G417" s="238">
        <v>0</v>
      </c>
      <c r="H417" s="238">
        <v>0</v>
      </c>
      <c r="I417" s="238">
        <v>0</v>
      </c>
      <c r="J417" s="256"/>
      <c r="K417" s="338"/>
      <c r="L417" s="338"/>
      <c r="M417" s="338"/>
      <c r="N417" s="338"/>
    </row>
    <row r="418" spans="1:14" s="44" customFormat="1" ht="15" hidden="1" x14ac:dyDescent="0.2">
      <c r="A418" s="32" t="s">
        <v>28</v>
      </c>
      <c r="B418" s="293" t="s">
        <v>218</v>
      </c>
      <c r="C418" s="23" t="s">
        <v>69</v>
      </c>
      <c r="D418" s="23" t="s">
        <v>30</v>
      </c>
      <c r="E418" s="36" t="s">
        <v>98</v>
      </c>
      <c r="F418" s="31">
        <v>800</v>
      </c>
      <c r="G418" s="28">
        <v>0</v>
      </c>
      <c r="H418" s="28">
        <v>0</v>
      </c>
      <c r="I418" s="28">
        <v>0</v>
      </c>
      <c r="J418" s="254"/>
      <c r="K418" s="335"/>
      <c r="L418" s="335"/>
      <c r="M418" s="335"/>
      <c r="N418" s="335"/>
    </row>
    <row r="419" spans="1:14" s="44" customFormat="1" x14ac:dyDescent="0.25">
      <c r="A419" s="18" t="s">
        <v>18</v>
      </c>
      <c r="B419" s="292">
        <v>701</v>
      </c>
      <c r="C419" s="19" t="s">
        <v>69</v>
      </c>
      <c r="D419" s="19" t="s">
        <v>30</v>
      </c>
      <c r="E419" s="19" t="s">
        <v>19</v>
      </c>
      <c r="F419" s="30"/>
      <c r="G419" s="42">
        <f t="shared" ref="G419:I421" si="146">G420</f>
        <v>160000</v>
      </c>
      <c r="H419" s="42">
        <f t="shared" si="146"/>
        <v>0</v>
      </c>
      <c r="I419" s="42">
        <f t="shared" si="146"/>
        <v>0</v>
      </c>
      <c r="J419" s="254"/>
      <c r="K419" s="335"/>
      <c r="L419" s="335"/>
      <c r="M419" s="335"/>
      <c r="N419" s="335"/>
    </row>
    <row r="420" spans="1:14" s="44" customFormat="1" ht="15" x14ac:dyDescent="0.2">
      <c r="A420" s="22" t="s">
        <v>56</v>
      </c>
      <c r="B420" s="293" t="s">
        <v>218</v>
      </c>
      <c r="C420" s="23" t="s">
        <v>69</v>
      </c>
      <c r="D420" s="23" t="s">
        <v>30</v>
      </c>
      <c r="E420" s="23" t="s">
        <v>38</v>
      </c>
      <c r="F420" s="31"/>
      <c r="G420" s="28">
        <f>G421</f>
        <v>160000</v>
      </c>
      <c r="H420" s="28">
        <f t="shared" si="146"/>
        <v>0</v>
      </c>
      <c r="I420" s="28">
        <f t="shared" si="146"/>
        <v>0</v>
      </c>
      <c r="J420" s="254"/>
      <c r="K420" s="335"/>
      <c r="L420" s="335"/>
      <c r="M420" s="335"/>
      <c r="N420" s="335"/>
    </row>
    <row r="421" spans="1:14" s="44" customFormat="1" ht="15" x14ac:dyDescent="0.2">
      <c r="A421" s="22" t="s">
        <v>181</v>
      </c>
      <c r="B421" s="302">
        <v>701</v>
      </c>
      <c r="C421" s="23" t="s">
        <v>69</v>
      </c>
      <c r="D421" s="23" t="s">
        <v>30</v>
      </c>
      <c r="E421" s="23" t="s">
        <v>182</v>
      </c>
      <c r="F421" s="31"/>
      <c r="G421" s="28">
        <f>G422</f>
        <v>160000</v>
      </c>
      <c r="H421" s="28">
        <f t="shared" si="146"/>
        <v>0</v>
      </c>
      <c r="I421" s="28">
        <f t="shared" si="146"/>
        <v>0</v>
      </c>
      <c r="J421" s="254"/>
      <c r="K421" s="335"/>
      <c r="L421" s="335"/>
      <c r="M421" s="335"/>
      <c r="N421" s="335"/>
    </row>
    <row r="422" spans="1:14" s="44" customFormat="1" ht="30" x14ac:dyDescent="0.2">
      <c r="A422" s="22" t="s">
        <v>26</v>
      </c>
      <c r="B422" s="292">
        <v>701</v>
      </c>
      <c r="C422" s="23" t="s">
        <v>69</v>
      </c>
      <c r="D422" s="23" t="s">
        <v>30</v>
      </c>
      <c r="E422" s="23" t="s">
        <v>182</v>
      </c>
      <c r="F422" s="31">
        <v>200</v>
      </c>
      <c r="G422" s="28">
        <f>'Приложение 2'!F189</f>
        <v>160000</v>
      </c>
      <c r="H422" s="28">
        <f>'Приложение 2'!G189</f>
        <v>0</v>
      </c>
      <c r="I422" s="28">
        <f>'Приложение 2'!H189</f>
        <v>0</v>
      </c>
      <c r="J422" s="254"/>
      <c r="K422" s="335"/>
      <c r="L422" s="335"/>
      <c r="M422" s="335"/>
      <c r="N422" s="335"/>
    </row>
    <row r="423" spans="1:14" s="44" customFormat="1" x14ac:dyDescent="0.25">
      <c r="A423" s="34" t="s">
        <v>114</v>
      </c>
      <c r="B423" s="293" t="s">
        <v>218</v>
      </c>
      <c r="C423" s="19" t="s">
        <v>74</v>
      </c>
      <c r="D423" s="19"/>
      <c r="E423" s="36"/>
      <c r="F423" s="31"/>
      <c r="G423" s="263">
        <f t="shared" ref="G423:I427" si="147">G424</f>
        <v>34000000</v>
      </c>
      <c r="H423" s="263">
        <f t="shared" si="147"/>
        <v>34000000</v>
      </c>
      <c r="I423" s="263">
        <f t="shared" si="147"/>
        <v>34000000</v>
      </c>
      <c r="J423" s="254"/>
      <c r="K423" s="335"/>
      <c r="L423" s="335"/>
      <c r="M423" s="335"/>
      <c r="N423" s="335"/>
    </row>
    <row r="424" spans="1:14" s="44" customFormat="1" x14ac:dyDescent="0.25">
      <c r="A424" s="34" t="s">
        <v>115</v>
      </c>
      <c r="B424" s="292">
        <v>701</v>
      </c>
      <c r="C424" s="19" t="s">
        <v>74</v>
      </c>
      <c r="D424" s="19" t="s">
        <v>74</v>
      </c>
      <c r="E424" s="36"/>
      <c r="F424" s="31"/>
      <c r="G424" s="263">
        <f t="shared" si="147"/>
        <v>34000000</v>
      </c>
      <c r="H424" s="263">
        <f t="shared" si="147"/>
        <v>34000000</v>
      </c>
      <c r="I424" s="263">
        <f t="shared" si="147"/>
        <v>34000000</v>
      </c>
      <c r="J424" s="254"/>
      <c r="K424" s="335"/>
      <c r="L424" s="335"/>
      <c r="M424" s="335"/>
      <c r="N424" s="335"/>
    </row>
    <row r="425" spans="1:14" s="44" customFormat="1" ht="47.25" x14ac:dyDescent="0.25">
      <c r="A425" s="18" t="s">
        <v>672</v>
      </c>
      <c r="B425" s="293" t="s">
        <v>218</v>
      </c>
      <c r="C425" s="19" t="s">
        <v>74</v>
      </c>
      <c r="D425" s="19" t="s">
        <v>74</v>
      </c>
      <c r="E425" s="99" t="s">
        <v>116</v>
      </c>
      <c r="F425" s="31"/>
      <c r="G425" s="263">
        <f t="shared" si="147"/>
        <v>34000000</v>
      </c>
      <c r="H425" s="263">
        <f t="shared" si="147"/>
        <v>34000000</v>
      </c>
      <c r="I425" s="263">
        <f t="shared" si="147"/>
        <v>34000000</v>
      </c>
      <c r="J425" s="254"/>
      <c r="K425" s="335"/>
      <c r="L425" s="335"/>
      <c r="M425" s="335"/>
      <c r="N425" s="335"/>
    </row>
    <row r="426" spans="1:14" s="45" customFormat="1" ht="30" x14ac:dyDescent="0.2">
      <c r="A426" s="22" t="s">
        <v>540</v>
      </c>
      <c r="B426" s="292">
        <v>701</v>
      </c>
      <c r="C426" s="23" t="s">
        <v>74</v>
      </c>
      <c r="D426" s="23" t="s">
        <v>74</v>
      </c>
      <c r="E426" s="101" t="s">
        <v>117</v>
      </c>
      <c r="F426" s="31"/>
      <c r="G426" s="261">
        <f>G427</f>
        <v>34000000</v>
      </c>
      <c r="H426" s="261">
        <f t="shared" si="147"/>
        <v>34000000</v>
      </c>
      <c r="I426" s="261">
        <f t="shared" si="147"/>
        <v>34000000</v>
      </c>
      <c r="J426" s="255"/>
      <c r="K426" s="336"/>
      <c r="L426" s="336"/>
      <c r="M426" s="336"/>
      <c r="N426" s="336"/>
    </row>
    <row r="427" spans="1:14" s="45" customFormat="1" ht="45" x14ac:dyDescent="0.2">
      <c r="A427" s="22" t="s">
        <v>548</v>
      </c>
      <c r="B427" s="293" t="s">
        <v>218</v>
      </c>
      <c r="C427" s="23" t="s">
        <v>74</v>
      </c>
      <c r="D427" s="23" t="s">
        <v>74</v>
      </c>
      <c r="E427" s="101" t="s">
        <v>547</v>
      </c>
      <c r="F427" s="31"/>
      <c r="G427" s="261">
        <f>G428</f>
        <v>34000000</v>
      </c>
      <c r="H427" s="261">
        <f t="shared" si="147"/>
        <v>34000000</v>
      </c>
      <c r="I427" s="261">
        <f t="shared" si="147"/>
        <v>34000000</v>
      </c>
      <c r="J427" s="255"/>
      <c r="K427" s="336"/>
      <c r="L427" s="336"/>
      <c r="M427" s="336"/>
      <c r="N427" s="336"/>
    </row>
    <row r="428" spans="1:14" s="44" customFormat="1" ht="30" x14ac:dyDescent="0.2">
      <c r="A428" s="22" t="s">
        <v>26</v>
      </c>
      <c r="B428" s="292">
        <v>701</v>
      </c>
      <c r="C428" s="23" t="s">
        <v>74</v>
      </c>
      <c r="D428" s="23" t="s">
        <v>74</v>
      </c>
      <c r="E428" s="101" t="s">
        <v>547</v>
      </c>
      <c r="F428" s="31">
        <v>200</v>
      </c>
      <c r="G428" s="261">
        <v>34000000</v>
      </c>
      <c r="H428" s="261">
        <v>34000000</v>
      </c>
      <c r="I428" s="261">
        <v>34000000</v>
      </c>
      <c r="J428" s="254"/>
      <c r="K428" s="335"/>
      <c r="L428" s="335"/>
      <c r="M428" s="335"/>
      <c r="N428" s="335"/>
    </row>
    <row r="429" spans="1:14" s="44" customFormat="1" x14ac:dyDescent="0.25">
      <c r="A429" s="18" t="s">
        <v>118</v>
      </c>
      <c r="B429" s="293" t="s">
        <v>218</v>
      </c>
      <c r="C429" s="19" t="s">
        <v>59</v>
      </c>
      <c r="D429" s="19"/>
      <c r="E429" s="19"/>
      <c r="F429" s="19"/>
      <c r="G429" s="20">
        <f>G430+G439+G460+G485</f>
        <v>105144630.56</v>
      </c>
      <c r="H429" s="20">
        <f>H430+H439+H460+H485</f>
        <v>98072445.280000001</v>
      </c>
      <c r="I429" s="20">
        <f>I430+I439+I460+I485</f>
        <v>101480088.30000001</v>
      </c>
      <c r="J429" s="254"/>
      <c r="K429" s="335"/>
      <c r="L429" s="335"/>
      <c r="M429" s="335"/>
      <c r="N429" s="335"/>
    </row>
    <row r="430" spans="1:14" s="44" customFormat="1" x14ac:dyDescent="0.25">
      <c r="A430" s="18" t="s">
        <v>119</v>
      </c>
      <c r="B430" s="292">
        <v>701</v>
      </c>
      <c r="C430" s="19" t="s">
        <v>59</v>
      </c>
      <c r="D430" s="19" t="s">
        <v>15</v>
      </c>
      <c r="E430" s="19"/>
      <c r="F430" s="19"/>
      <c r="G430" s="20">
        <f>G431+G435</f>
        <v>9837841</v>
      </c>
      <c r="H430" s="20">
        <f>H431+H435</f>
        <v>9494315</v>
      </c>
      <c r="I430" s="20">
        <f>I431+I435</f>
        <v>9494316</v>
      </c>
      <c r="J430" s="254"/>
      <c r="K430" s="335"/>
      <c r="L430" s="335"/>
      <c r="M430" s="335"/>
      <c r="N430" s="335"/>
    </row>
    <row r="431" spans="1:14" s="45" customFormat="1" x14ac:dyDescent="0.25">
      <c r="A431" s="18" t="s">
        <v>120</v>
      </c>
      <c r="B431" s="292">
        <v>701</v>
      </c>
      <c r="C431" s="19" t="s">
        <v>59</v>
      </c>
      <c r="D431" s="19" t="s">
        <v>15</v>
      </c>
      <c r="E431" s="19" t="s">
        <v>121</v>
      </c>
      <c r="F431" s="19"/>
      <c r="G431" s="259">
        <f t="shared" ref="G431:I433" si="148">G432</f>
        <v>5473526</v>
      </c>
      <c r="H431" s="259">
        <f t="shared" si="148"/>
        <v>5130000</v>
      </c>
      <c r="I431" s="259">
        <f t="shared" si="148"/>
        <v>5130001</v>
      </c>
      <c r="J431" s="255"/>
      <c r="K431" s="336"/>
      <c r="L431" s="336"/>
      <c r="M431" s="336"/>
      <c r="N431" s="336"/>
    </row>
    <row r="432" spans="1:14" s="45" customFormat="1" ht="15" x14ac:dyDescent="0.2">
      <c r="A432" s="22" t="s">
        <v>50</v>
      </c>
      <c r="B432" s="293" t="s">
        <v>218</v>
      </c>
      <c r="C432" s="23" t="s">
        <v>59</v>
      </c>
      <c r="D432" s="23" t="s">
        <v>15</v>
      </c>
      <c r="E432" s="23" t="s">
        <v>122</v>
      </c>
      <c r="F432" s="23"/>
      <c r="G432" s="260">
        <f>G433</f>
        <v>5473526</v>
      </c>
      <c r="H432" s="260">
        <f t="shared" si="148"/>
        <v>5130000</v>
      </c>
      <c r="I432" s="260">
        <f t="shared" si="148"/>
        <v>5130001</v>
      </c>
      <c r="J432" s="255"/>
      <c r="K432" s="336"/>
      <c r="L432" s="336"/>
      <c r="M432" s="336"/>
      <c r="N432" s="336"/>
    </row>
    <row r="433" spans="1:14" s="45" customFormat="1" ht="45" x14ac:dyDescent="0.2">
      <c r="A433" s="22" t="s">
        <v>665</v>
      </c>
      <c r="B433" s="292">
        <v>701</v>
      </c>
      <c r="C433" s="23" t="s">
        <v>59</v>
      </c>
      <c r="D433" s="23" t="s">
        <v>15</v>
      </c>
      <c r="E433" s="23">
        <v>5540071020</v>
      </c>
      <c r="F433" s="23"/>
      <c r="G433" s="260">
        <f>G434</f>
        <v>5473526</v>
      </c>
      <c r="H433" s="260">
        <f t="shared" si="148"/>
        <v>5130000</v>
      </c>
      <c r="I433" s="260">
        <f t="shared" si="148"/>
        <v>5130001</v>
      </c>
      <c r="J433" s="255"/>
      <c r="K433" s="336"/>
      <c r="L433" s="336"/>
      <c r="M433" s="336"/>
      <c r="N433" s="336"/>
    </row>
    <row r="434" spans="1:14" s="45" customFormat="1" ht="15" x14ac:dyDescent="0.2">
      <c r="A434" s="22" t="s">
        <v>52</v>
      </c>
      <c r="B434" s="293" t="s">
        <v>218</v>
      </c>
      <c r="C434" s="23" t="s">
        <v>59</v>
      </c>
      <c r="D434" s="23" t="s">
        <v>15</v>
      </c>
      <c r="E434" s="23">
        <v>5540071020</v>
      </c>
      <c r="F434" s="23" t="s">
        <v>53</v>
      </c>
      <c r="G434" s="260">
        <f>5130000+343526</f>
        <v>5473526</v>
      </c>
      <c r="H434" s="260">
        <v>5130000</v>
      </c>
      <c r="I434" s="260">
        <v>5130001</v>
      </c>
      <c r="J434" s="255"/>
      <c r="K434" s="336"/>
      <c r="L434" s="336"/>
      <c r="M434" s="336"/>
      <c r="N434" s="336"/>
    </row>
    <row r="435" spans="1:14" s="44" customFormat="1" x14ac:dyDescent="0.25">
      <c r="A435" s="18" t="s">
        <v>18</v>
      </c>
      <c r="B435" s="292">
        <v>701</v>
      </c>
      <c r="C435" s="19" t="s">
        <v>59</v>
      </c>
      <c r="D435" s="19" t="s">
        <v>15</v>
      </c>
      <c r="E435" s="19" t="s">
        <v>19</v>
      </c>
      <c r="F435" s="19"/>
      <c r="G435" s="20">
        <f t="shared" ref="G435:I437" si="149">G436</f>
        <v>4364315</v>
      </c>
      <c r="H435" s="20">
        <f t="shared" si="149"/>
        <v>4364315</v>
      </c>
      <c r="I435" s="20">
        <f t="shared" si="149"/>
        <v>4364315</v>
      </c>
      <c r="J435" s="254"/>
      <c r="K435" s="335"/>
      <c r="L435" s="335"/>
      <c r="M435" s="335"/>
      <c r="N435" s="335"/>
    </row>
    <row r="436" spans="1:14" s="45" customFormat="1" ht="15" x14ac:dyDescent="0.2">
      <c r="A436" s="22" t="s">
        <v>56</v>
      </c>
      <c r="B436" s="293" t="s">
        <v>218</v>
      </c>
      <c r="C436" s="23" t="s">
        <v>59</v>
      </c>
      <c r="D436" s="23" t="s">
        <v>15</v>
      </c>
      <c r="E436" s="23" t="s">
        <v>38</v>
      </c>
      <c r="F436" s="23"/>
      <c r="G436" s="24">
        <f>G437</f>
        <v>4364315</v>
      </c>
      <c r="H436" s="24">
        <f t="shared" si="149"/>
        <v>4364315</v>
      </c>
      <c r="I436" s="24">
        <f t="shared" si="149"/>
        <v>4364315</v>
      </c>
      <c r="J436" s="255"/>
      <c r="K436" s="336"/>
      <c r="L436" s="336"/>
      <c r="M436" s="336"/>
      <c r="N436" s="336"/>
    </row>
    <row r="437" spans="1:14" s="45" customFormat="1" ht="45" x14ac:dyDescent="0.2">
      <c r="A437" s="22" t="s">
        <v>183</v>
      </c>
      <c r="B437" s="292">
        <v>701</v>
      </c>
      <c r="C437" s="23" t="s">
        <v>59</v>
      </c>
      <c r="D437" s="23" t="s">
        <v>15</v>
      </c>
      <c r="E437" s="23" t="s">
        <v>184</v>
      </c>
      <c r="F437" s="23"/>
      <c r="G437" s="24">
        <f>G438</f>
        <v>4364315</v>
      </c>
      <c r="H437" s="24">
        <f t="shared" si="149"/>
        <v>4364315</v>
      </c>
      <c r="I437" s="24">
        <f t="shared" si="149"/>
        <v>4364315</v>
      </c>
      <c r="J437" s="255"/>
      <c r="K437" s="336"/>
      <c r="L437" s="336"/>
      <c r="M437" s="336"/>
      <c r="N437" s="336"/>
    </row>
    <row r="438" spans="1:14" s="44" customFormat="1" ht="15" x14ac:dyDescent="0.2">
      <c r="A438" s="22" t="s">
        <v>52</v>
      </c>
      <c r="B438" s="293" t="s">
        <v>218</v>
      </c>
      <c r="C438" s="23" t="s">
        <v>59</v>
      </c>
      <c r="D438" s="23" t="s">
        <v>15</v>
      </c>
      <c r="E438" s="23" t="s">
        <v>184</v>
      </c>
      <c r="F438" s="23" t="s">
        <v>53</v>
      </c>
      <c r="G438" s="24">
        <f>'Приложение 2'!F195</f>
        <v>4364315</v>
      </c>
      <c r="H438" s="24">
        <f>'Приложение 2'!G195</f>
        <v>4364315</v>
      </c>
      <c r="I438" s="24">
        <f>'Приложение 2'!H195</f>
        <v>4364315</v>
      </c>
      <c r="J438" s="254"/>
      <c r="K438" s="335"/>
      <c r="L438" s="335"/>
      <c r="M438" s="335"/>
      <c r="N438" s="335"/>
    </row>
    <row r="439" spans="1:14" s="44" customFormat="1" x14ac:dyDescent="0.25">
      <c r="A439" s="18" t="s">
        <v>123</v>
      </c>
      <c r="B439" s="292">
        <v>701</v>
      </c>
      <c r="C439" s="19" t="s">
        <v>59</v>
      </c>
      <c r="D439" s="19" t="s">
        <v>25</v>
      </c>
      <c r="E439" s="19"/>
      <c r="F439" s="19"/>
      <c r="G439" s="20">
        <f>G440+G449</f>
        <v>32558307.120000001</v>
      </c>
      <c r="H439" s="20">
        <f>H440+H449</f>
        <v>28981707.120000001</v>
      </c>
      <c r="I439" s="20">
        <f>I440+I449</f>
        <v>31232736</v>
      </c>
      <c r="J439" s="254"/>
      <c r="K439" s="335"/>
      <c r="L439" s="335"/>
      <c r="M439" s="335"/>
      <c r="N439" s="335"/>
    </row>
    <row r="440" spans="1:14" s="33" customFormat="1" ht="47.25" x14ac:dyDescent="0.25">
      <c r="A440" s="34" t="s">
        <v>100</v>
      </c>
      <c r="B440" s="293" t="s">
        <v>218</v>
      </c>
      <c r="C440" s="19" t="s">
        <v>59</v>
      </c>
      <c r="D440" s="19" t="s">
        <v>25</v>
      </c>
      <c r="E440" s="35" t="s">
        <v>101</v>
      </c>
      <c r="F440" s="19"/>
      <c r="G440" s="259">
        <f>G441</f>
        <v>9285000</v>
      </c>
      <c r="H440" s="259">
        <f>H441</f>
        <v>6908400</v>
      </c>
      <c r="I440" s="259">
        <f>I441</f>
        <v>6932736</v>
      </c>
      <c r="J440" s="96"/>
      <c r="K440" s="333"/>
      <c r="L440" s="333"/>
      <c r="M440" s="333"/>
      <c r="N440" s="333"/>
    </row>
    <row r="441" spans="1:14" s="29" customFormat="1" ht="30.75" x14ac:dyDescent="0.25">
      <c r="A441" s="22" t="s">
        <v>149</v>
      </c>
      <c r="B441" s="292">
        <v>701</v>
      </c>
      <c r="C441" s="23" t="s">
        <v>59</v>
      </c>
      <c r="D441" s="23" t="s">
        <v>25</v>
      </c>
      <c r="E441" s="36" t="s">
        <v>102</v>
      </c>
      <c r="F441" s="227"/>
      <c r="G441" s="260">
        <f>G442+G444+G446</f>
        <v>9285000</v>
      </c>
      <c r="H441" s="260">
        <f t="shared" ref="H441:I441" si="150">H442+H444+H446</f>
        <v>6908400</v>
      </c>
      <c r="I441" s="260">
        <f t="shared" si="150"/>
        <v>6932736</v>
      </c>
      <c r="J441" s="248"/>
      <c r="K441" s="330"/>
      <c r="L441" s="330"/>
      <c r="M441" s="330"/>
      <c r="N441" s="330"/>
    </row>
    <row r="442" spans="1:14" s="29" customFormat="1" ht="30.75" x14ac:dyDescent="0.25">
      <c r="A442" s="22" t="s">
        <v>631</v>
      </c>
      <c r="B442" s="293" t="s">
        <v>218</v>
      </c>
      <c r="C442" s="23" t="s">
        <v>59</v>
      </c>
      <c r="D442" s="23" t="s">
        <v>25</v>
      </c>
      <c r="E442" s="36">
        <v>5230010004</v>
      </c>
      <c r="F442" s="227"/>
      <c r="G442" s="260">
        <f>G443</f>
        <v>585000</v>
      </c>
      <c r="H442" s="260">
        <f t="shared" ref="H442:I442" si="151">H443</f>
        <v>608400</v>
      </c>
      <c r="I442" s="260">
        <f t="shared" si="151"/>
        <v>632736</v>
      </c>
      <c r="J442" s="248"/>
      <c r="K442" s="330"/>
      <c r="L442" s="330"/>
      <c r="M442" s="330"/>
      <c r="N442" s="330"/>
    </row>
    <row r="443" spans="1:14" s="29" customFormat="1" ht="30.75" x14ac:dyDescent="0.25">
      <c r="A443" s="32" t="s">
        <v>26</v>
      </c>
      <c r="B443" s="292">
        <v>701</v>
      </c>
      <c r="C443" s="23" t="s">
        <v>59</v>
      </c>
      <c r="D443" s="23" t="s">
        <v>25</v>
      </c>
      <c r="E443" s="36">
        <v>5230010004</v>
      </c>
      <c r="F443" s="23" t="s">
        <v>27</v>
      </c>
      <c r="G443" s="260">
        <v>585000</v>
      </c>
      <c r="H443" s="260">
        <v>608400</v>
      </c>
      <c r="I443" s="260">
        <v>632736</v>
      </c>
      <c r="J443" s="248"/>
      <c r="K443" s="330"/>
      <c r="L443" s="330"/>
      <c r="M443" s="330"/>
      <c r="N443" s="330"/>
    </row>
    <row r="444" spans="1:14" s="29" customFormat="1" ht="45.75" x14ac:dyDescent="0.25">
      <c r="A444" s="32" t="s">
        <v>632</v>
      </c>
      <c r="B444" s="293" t="s">
        <v>218</v>
      </c>
      <c r="C444" s="23" t="s">
        <v>59</v>
      </c>
      <c r="D444" s="23" t="s">
        <v>25</v>
      </c>
      <c r="E444" s="36">
        <v>5230010100</v>
      </c>
      <c r="F444" s="23"/>
      <c r="G444" s="260">
        <f>G445</f>
        <v>8100000</v>
      </c>
      <c r="H444" s="260">
        <f t="shared" ref="H444:I444" si="152">H445</f>
        <v>5700000</v>
      </c>
      <c r="I444" s="260">
        <f t="shared" si="152"/>
        <v>5700000</v>
      </c>
      <c r="J444" s="248"/>
      <c r="K444" s="330"/>
      <c r="L444" s="330"/>
      <c r="M444" s="330"/>
      <c r="N444" s="330"/>
    </row>
    <row r="445" spans="1:14" s="29" customFormat="1" ht="30.75" x14ac:dyDescent="0.25">
      <c r="A445" s="22" t="s">
        <v>54</v>
      </c>
      <c r="B445" s="292">
        <v>701</v>
      </c>
      <c r="C445" s="23" t="s">
        <v>59</v>
      </c>
      <c r="D445" s="23" t="s">
        <v>25</v>
      </c>
      <c r="E445" s="36">
        <v>5230010100</v>
      </c>
      <c r="F445" s="23" t="s">
        <v>55</v>
      </c>
      <c r="G445" s="260">
        <v>8100000</v>
      </c>
      <c r="H445" s="260">
        <v>5700000</v>
      </c>
      <c r="I445" s="260">
        <v>5700000</v>
      </c>
      <c r="J445" s="248"/>
      <c r="K445" s="330"/>
      <c r="L445" s="330"/>
      <c r="M445" s="330"/>
      <c r="N445" s="330"/>
    </row>
    <row r="446" spans="1:14" s="29" customFormat="1" ht="30.75" x14ac:dyDescent="0.25">
      <c r="A446" s="22" t="s">
        <v>645</v>
      </c>
      <c r="B446" s="293" t="s">
        <v>218</v>
      </c>
      <c r="C446" s="23" t="s">
        <v>59</v>
      </c>
      <c r="D446" s="23" t="s">
        <v>25</v>
      </c>
      <c r="E446" s="36" t="s">
        <v>646</v>
      </c>
      <c r="F446" s="23"/>
      <c r="G446" s="260">
        <f>SUM(G447:G448)</f>
        <v>600000</v>
      </c>
      <c r="H446" s="260">
        <f t="shared" ref="H446:I446" si="153">SUM(H447:H448)</f>
        <v>600000</v>
      </c>
      <c r="I446" s="260">
        <f t="shared" si="153"/>
        <v>600000</v>
      </c>
      <c r="J446" s="248"/>
      <c r="K446" s="330"/>
      <c r="L446" s="330"/>
      <c r="M446" s="330"/>
      <c r="N446" s="330"/>
    </row>
    <row r="447" spans="1:14" s="29" customFormat="1" x14ac:dyDescent="0.25">
      <c r="A447" s="32" t="s">
        <v>52</v>
      </c>
      <c r="B447" s="292">
        <v>701</v>
      </c>
      <c r="C447" s="23" t="s">
        <v>59</v>
      </c>
      <c r="D447" s="23" t="s">
        <v>25</v>
      </c>
      <c r="E447" s="36" t="s">
        <v>646</v>
      </c>
      <c r="F447" s="23" t="s">
        <v>53</v>
      </c>
      <c r="G447" s="260">
        <v>0</v>
      </c>
      <c r="H447" s="260">
        <v>600000</v>
      </c>
      <c r="I447" s="260">
        <v>600000</v>
      </c>
      <c r="J447" s="248"/>
      <c r="K447" s="330"/>
      <c r="L447" s="330"/>
      <c r="M447" s="330"/>
      <c r="N447" s="330"/>
    </row>
    <row r="448" spans="1:14" s="29" customFormat="1" x14ac:dyDescent="0.25">
      <c r="A448" s="32" t="s">
        <v>28</v>
      </c>
      <c r="B448" s="292">
        <v>701</v>
      </c>
      <c r="C448" s="23" t="s">
        <v>59</v>
      </c>
      <c r="D448" s="23" t="s">
        <v>25</v>
      </c>
      <c r="E448" s="36" t="s">
        <v>646</v>
      </c>
      <c r="F448" s="23" t="s">
        <v>29</v>
      </c>
      <c r="G448" s="260">
        <v>600000</v>
      </c>
      <c r="H448" s="260">
        <v>0</v>
      </c>
      <c r="I448" s="260">
        <v>0</v>
      </c>
      <c r="J448" s="248"/>
      <c r="K448" s="330"/>
      <c r="L448" s="330"/>
      <c r="M448" s="330"/>
      <c r="N448" s="330"/>
    </row>
    <row r="449" spans="1:14" s="29" customFormat="1" ht="47.25" x14ac:dyDescent="0.25">
      <c r="A449" s="18" t="s">
        <v>41</v>
      </c>
      <c r="B449" s="292">
        <v>701</v>
      </c>
      <c r="C449" s="19" t="s">
        <v>59</v>
      </c>
      <c r="D449" s="19" t="s">
        <v>25</v>
      </c>
      <c r="E449" s="19" t="s">
        <v>42</v>
      </c>
      <c r="F449" s="19"/>
      <c r="G449" s="20">
        <f>G450+G457</f>
        <v>23273307.120000001</v>
      </c>
      <c r="H449" s="20">
        <f>H450+H457</f>
        <v>22073307.120000001</v>
      </c>
      <c r="I449" s="20">
        <f>I450+I457</f>
        <v>24300000</v>
      </c>
      <c r="J449" s="248"/>
      <c r="K449" s="330"/>
      <c r="L449" s="330"/>
      <c r="M449" s="330"/>
      <c r="N449" s="330"/>
    </row>
    <row r="450" spans="1:14" s="29" customFormat="1" ht="60.75" x14ac:dyDescent="0.25">
      <c r="A450" s="22" t="s">
        <v>208</v>
      </c>
      <c r="B450" s="293" t="s">
        <v>218</v>
      </c>
      <c r="C450" s="23" t="s">
        <v>59</v>
      </c>
      <c r="D450" s="23" t="s">
        <v>25</v>
      </c>
      <c r="E450" s="23" t="s">
        <v>44</v>
      </c>
      <c r="F450" s="23"/>
      <c r="G450" s="24">
        <f>G451+G453+G455</f>
        <v>20273307.120000001</v>
      </c>
      <c r="H450" s="24">
        <f t="shared" ref="H450:I450" si="154">H451+H453+H455</f>
        <v>19073307.120000001</v>
      </c>
      <c r="I450" s="24">
        <f t="shared" si="154"/>
        <v>21300000</v>
      </c>
      <c r="J450" s="248"/>
      <c r="K450" s="330"/>
      <c r="L450" s="330"/>
      <c r="M450" s="330"/>
      <c r="N450" s="330"/>
    </row>
    <row r="451" spans="1:14" s="29" customFormat="1" ht="30.75" x14ac:dyDescent="0.25">
      <c r="A451" s="22" t="s">
        <v>658</v>
      </c>
      <c r="B451" s="292">
        <v>701</v>
      </c>
      <c r="C451" s="23" t="s">
        <v>59</v>
      </c>
      <c r="D451" s="23" t="s">
        <v>25</v>
      </c>
      <c r="E451" s="23" t="s">
        <v>657</v>
      </c>
      <c r="F451" s="23"/>
      <c r="G451" s="24">
        <f>G452</f>
        <v>12000000</v>
      </c>
      <c r="H451" s="24">
        <f t="shared" ref="H451:I451" si="155">H452</f>
        <v>12000000</v>
      </c>
      <c r="I451" s="24">
        <f t="shared" si="155"/>
        <v>12000000</v>
      </c>
      <c r="J451" s="248"/>
      <c r="K451" s="330"/>
      <c r="L451" s="330"/>
      <c r="M451" s="330"/>
      <c r="N451" s="330"/>
    </row>
    <row r="452" spans="1:14" s="29" customFormat="1" x14ac:dyDescent="0.25">
      <c r="A452" s="22" t="s">
        <v>52</v>
      </c>
      <c r="B452" s="293" t="s">
        <v>218</v>
      </c>
      <c r="C452" s="23" t="s">
        <v>59</v>
      </c>
      <c r="D452" s="23" t="s">
        <v>25</v>
      </c>
      <c r="E452" s="23" t="s">
        <v>657</v>
      </c>
      <c r="F452" s="23" t="s">
        <v>53</v>
      </c>
      <c r="G452" s="24">
        <v>12000000</v>
      </c>
      <c r="H452" s="24">
        <v>12000000</v>
      </c>
      <c r="I452" s="24">
        <v>12000000</v>
      </c>
      <c r="J452" s="248"/>
      <c r="K452" s="330"/>
      <c r="L452" s="330"/>
      <c r="M452" s="330"/>
      <c r="N452" s="330"/>
    </row>
    <row r="453" spans="1:14" s="29" customFormat="1" ht="30.75" x14ac:dyDescent="0.25">
      <c r="A453" s="22" t="s">
        <v>659</v>
      </c>
      <c r="B453" s="292">
        <v>701</v>
      </c>
      <c r="C453" s="23" t="s">
        <v>59</v>
      </c>
      <c r="D453" s="23" t="s">
        <v>25</v>
      </c>
      <c r="E453" s="23">
        <v>6130010012</v>
      </c>
      <c r="F453" s="23"/>
      <c r="G453" s="24">
        <f>G454</f>
        <v>7973307.1200000001</v>
      </c>
      <c r="H453" s="24">
        <f t="shared" ref="H453:I453" si="156">H454</f>
        <v>6773307.1200000001</v>
      </c>
      <c r="I453" s="24">
        <f t="shared" si="156"/>
        <v>9000000</v>
      </c>
      <c r="J453" s="248"/>
      <c r="K453" s="330"/>
      <c r="L453" s="330"/>
      <c r="M453" s="330"/>
      <c r="N453" s="330"/>
    </row>
    <row r="454" spans="1:14" s="29" customFormat="1" ht="30.75" x14ac:dyDescent="0.25">
      <c r="A454" s="22" t="s">
        <v>124</v>
      </c>
      <c r="B454" s="293" t="s">
        <v>218</v>
      </c>
      <c r="C454" s="23" t="s">
        <v>59</v>
      </c>
      <c r="D454" s="23" t="s">
        <v>25</v>
      </c>
      <c r="E454" s="23">
        <v>6130010012</v>
      </c>
      <c r="F454" s="23" t="s">
        <v>49</v>
      </c>
      <c r="G454" s="24">
        <v>7973307.1200000001</v>
      </c>
      <c r="H454" s="24">
        <v>6773307.1200000001</v>
      </c>
      <c r="I454" s="24">
        <v>9000000</v>
      </c>
      <c r="J454" s="248"/>
      <c r="K454" s="330"/>
      <c r="L454" s="330"/>
      <c r="M454" s="330"/>
      <c r="N454" s="330"/>
    </row>
    <row r="455" spans="1:14" s="29" customFormat="1" ht="60.75" x14ac:dyDescent="0.25">
      <c r="A455" s="22" t="s">
        <v>661</v>
      </c>
      <c r="B455" s="292">
        <v>701</v>
      </c>
      <c r="C455" s="23" t="s">
        <v>59</v>
      </c>
      <c r="D455" s="23" t="s">
        <v>25</v>
      </c>
      <c r="E455" s="23" t="s">
        <v>660</v>
      </c>
      <c r="F455" s="23"/>
      <c r="G455" s="24">
        <f>G456</f>
        <v>300000</v>
      </c>
      <c r="H455" s="24">
        <f t="shared" ref="H455:I455" si="157">H456</f>
        <v>300000</v>
      </c>
      <c r="I455" s="24">
        <f t="shared" si="157"/>
        <v>300000</v>
      </c>
      <c r="J455" s="248"/>
      <c r="K455" s="330"/>
      <c r="L455" s="330"/>
      <c r="M455" s="330"/>
      <c r="N455" s="330"/>
    </row>
    <row r="456" spans="1:14" s="29" customFormat="1" x14ac:dyDescent="0.25">
      <c r="A456" s="22" t="s">
        <v>52</v>
      </c>
      <c r="B456" s="293" t="s">
        <v>218</v>
      </c>
      <c r="C456" s="23" t="s">
        <v>59</v>
      </c>
      <c r="D456" s="23" t="s">
        <v>25</v>
      </c>
      <c r="E456" s="23" t="s">
        <v>660</v>
      </c>
      <c r="F456" s="23" t="s">
        <v>53</v>
      </c>
      <c r="G456" s="24">
        <v>300000</v>
      </c>
      <c r="H456" s="24">
        <v>300000</v>
      </c>
      <c r="I456" s="24">
        <v>300000</v>
      </c>
      <c r="J456" s="248"/>
      <c r="K456" s="330"/>
      <c r="L456" s="330"/>
      <c r="M456" s="330"/>
      <c r="N456" s="330"/>
    </row>
    <row r="457" spans="1:14" s="29" customFormat="1" x14ac:dyDescent="0.25">
      <c r="A457" s="22" t="s">
        <v>50</v>
      </c>
      <c r="B457" s="292">
        <v>701</v>
      </c>
      <c r="C457" s="23" t="s">
        <v>59</v>
      </c>
      <c r="D457" s="23" t="s">
        <v>25</v>
      </c>
      <c r="E457" s="23" t="s">
        <v>125</v>
      </c>
      <c r="F457" s="23"/>
      <c r="G457" s="24">
        <f>G458</f>
        <v>3000000</v>
      </c>
      <c r="H457" s="24">
        <f t="shared" ref="H457:I458" si="158">H458</f>
        <v>3000000</v>
      </c>
      <c r="I457" s="24">
        <f t="shared" si="158"/>
        <v>3000000</v>
      </c>
      <c r="J457" s="248"/>
      <c r="K457" s="330"/>
      <c r="L457" s="330"/>
      <c r="M457" s="330"/>
      <c r="N457" s="330"/>
    </row>
    <row r="458" spans="1:14" s="29" customFormat="1" ht="45.75" x14ac:dyDescent="0.25">
      <c r="A458" s="22" t="s">
        <v>663</v>
      </c>
      <c r="B458" s="293" t="s">
        <v>218</v>
      </c>
      <c r="C458" s="23" t="s">
        <v>59</v>
      </c>
      <c r="D458" s="23" t="s">
        <v>25</v>
      </c>
      <c r="E458" s="23" t="s">
        <v>662</v>
      </c>
      <c r="F458" s="23"/>
      <c r="G458" s="24">
        <f>G459</f>
        <v>3000000</v>
      </c>
      <c r="H458" s="24">
        <f t="shared" si="158"/>
        <v>3000000</v>
      </c>
      <c r="I458" s="24">
        <f t="shared" si="158"/>
        <v>3000000</v>
      </c>
      <c r="J458" s="248"/>
      <c r="K458" s="330"/>
      <c r="L458" s="330"/>
      <c r="M458" s="330"/>
      <c r="N458" s="330"/>
    </row>
    <row r="459" spans="1:14" s="29" customFormat="1" x14ac:dyDescent="0.25">
      <c r="A459" s="22" t="s">
        <v>52</v>
      </c>
      <c r="B459" s="292">
        <v>701</v>
      </c>
      <c r="C459" s="23" t="s">
        <v>59</v>
      </c>
      <c r="D459" s="23" t="s">
        <v>25</v>
      </c>
      <c r="E459" s="23" t="s">
        <v>662</v>
      </c>
      <c r="F459" s="23" t="s">
        <v>53</v>
      </c>
      <c r="G459" s="24">
        <v>3000000</v>
      </c>
      <c r="H459" s="24">
        <v>3000000</v>
      </c>
      <c r="I459" s="24">
        <v>3000000</v>
      </c>
      <c r="J459" s="248"/>
      <c r="K459" s="330"/>
      <c r="L459" s="330"/>
      <c r="M459" s="330"/>
      <c r="N459" s="330"/>
    </row>
    <row r="460" spans="1:14" s="27" customFormat="1" x14ac:dyDescent="0.25">
      <c r="A460" s="18" t="s">
        <v>126</v>
      </c>
      <c r="B460" s="293" t="s">
        <v>218</v>
      </c>
      <c r="C460" s="19" t="s">
        <v>59</v>
      </c>
      <c r="D460" s="19" t="s">
        <v>30</v>
      </c>
      <c r="E460" s="19"/>
      <c r="F460" s="19"/>
      <c r="G460" s="20">
        <f>G461+G467+G475+G479</f>
        <v>45076530.609999999</v>
      </c>
      <c r="H460" s="20">
        <f>H461+H467+H475+H479</f>
        <v>45897791.100000001</v>
      </c>
      <c r="I460" s="20">
        <f>I461+I467+I475+I479</f>
        <v>46958194.240000002</v>
      </c>
      <c r="J460" s="94"/>
      <c r="K460" s="339"/>
      <c r="L460" s="339"/>
      <c r="M460" s="339"/>
      <c r="N460" s="339"/>
    </row>
    <row r="461" spans="1:14" ht="47.25" x14ac:dyDescent="0.25">
      <c r="A461" s="34" t="s">
        <v>100</v>
      </c>
      <c r="B461" s="292">
        <v>701</v>
      </c>
      <c r="C461" s="19" t="s">
        <v>59</v>
      </c>
      <c r="D461" s="19" t="s">
        <v>30</v>
      </c>
      <c r="E461" s="35" t="s">
        <v>101</v>
      </c>
      <c r="F461" s="19"/>
      <c r="G461" s="259">
        <f t="shared" ref="G461:I463" si="159">G462</f>
        <v>2276711.13</v>
      </c>
      <c r="H461" s="259">
        <f t="shared" si="159"/>
        <v>2334791.1</v>
      </c>
      <c r="I461" s="259">
        <f t="shared" si="159"/>
        <v>2395194.2400000002</v>
      </c>
      <c r="K461" s="329"/>
      <c r="L461" s="329"/>
      <c r="M461" s="329"/>
      <c r="N461" s="329"/>
    </row>
    <row r="462" spans="1:14" x14ac:dyDescent="0.25">
      <c r="A462" s="22" t="s">
        <v>43</v>
      </c>
      <c r="B462" s="293" t="s">
        <v>218</v>
      </c>
      <c r="C462" s="23" t="s">
        <v>59</v>
      </c>
      <c r="D462" s="23" t="s">
        <v>30</v>
      </c>
      <c r="E462" s="36" t="s">
        <v>102</v>
      </c>
      <c r="F462" s="23"/>
      <c r="G462" s="260">
        <f t="shared" si="159"/>
        <v>2276711.13</v>
      </c>
      <c r="H462" s="260">
        <f t="shared" si="159"/>
        <v>2334791.1</v>
      </c>
      <c r="I462" s="260">
        <f t="shared" si="159"/>
        <v>2395194.2400000002</v>
      </c>
      <c r="K462" s="329"/>
      <c r="L462" s="329"/>
      <c r="M462" s="329"/>
      <c r="N462" s="329"/>
    </row>
    <row r="463" spans="1:14" s="56" customFormat="1" x14ac:dyDescent="0.25">
      <c r="A463" s="22" t="s">
        <v>150</v>
      </c>
      <c r="B463" s="292">
        <v>701</v>
      </c>
      <c r="C463" s="23" t="s">
        <v>59</v>
      </c>
      <c r="D463" s="23" t="s">
        <v>30</v>
      </c>
      <c r="E463" s="36" t="s">
        <v>102</v>
      </c>
      <c r="F463" s="23"/>
      <c r="G463" s="260">
        <f>G464</f>
        <v>2276711.13</v>
      </c>
      <c r="H463" s="260">
        <f t="shared" si="159"/>
        <v>2334791.1</v>
      </c>
      <c r="I463" s="260">
        <f t="shared" si="159"/>
        <v>2395194.2400000002</v>
      </c>
      <c r="J463" s="246"/>
      <c r="K463" s="341"/>
      <c r="L463" s="341"/>
      <c r="M463" s="341"/>
      <c r="N463" s="341"/>
    </row>
    <row r="464" spans="1:14" s="56" customFormat="1" ht="60.75" x14ac:dyDescent="0.25">
      <c r="A464" s="22" t="s">
        <v>633</v>
      </c>
      <c r="B464" s="293" t="s">
        <v>218</v>
      </c>
      <c r="C464" s="23" t="s">
        <v>59</v>
      </c>
      <c r="D464" s="23" t="s">
        <v>30</v>
      </c>
      <c r="E464" s="36">
        <v>5230010020</v>
      </c>
      <c r="F464" s="23"/>
      <c r="G464" s="260">
        <f>SUM(G465:G466)</f>
        <v>2276711.13</v>
      </c>
      <c r="H464" s="260">
        <f t="shared" ref="H464:I464" si="160">SUM(H465:H466)</f>
        <v>2334791.1</v>
      </c>
      <c r="I464" s="260">
        <f t="shared" si="160"/>
        <v>2395194.2400000002</v>
      </c>
      <c r="J464" s="246"/>
      <c r="K464" s="341"/>
      <c r="L464" s="341"/>
      <c r="M464" s="341"/>
      <c r="N464" s="341"/>
    </row>
    <row r="465" spans="1:14" ht="30.75" x14ac:dyDescent="0.25">
      <c r="A465" s="22" t="s">
        <v>26</v>
      </c>
      <c r="B465" s="292">
        <v>701</v>
      </c>
      <c r="C465" s="23" t="s">
        <v>59</v>
      </c>
      <c r="D465" s="23" t="s">
        <v>30</v>
      </c>
      <c r="E465" s="36">
        <v>5230010020</v>
      </c>
      <c r="F465" s="23" t="s">
        <v>27</v>
      </c>
      <c r="G465" s="261">
        <v>1451999.13</v>
      </c>
      <c r="H465" s="261">
        <v>1510079.1</v>
      </c>
      <c r="I465" s="261">
        <v>1570482.24</v>
      </c>
      <c r="K465" s="329"/>
      <c r="L465" s="329"/>
      <c r="M465" s="329"/>
      <c r="N465" s="329"/>
    </row>
    <row r="466" spans="1:14" x14ac:dyDescent="0.25">
      <c r="A466" s="22" t="s">
        <v>52</v>
      </c>
      <c r="B466" s="292">
        <v>701</v>
      </c>
      <c r="C466" s="23" t="s">
        <v>59</v>
      </c>
      <c r="D466" s="23" t="s">
        <v>30</v>
      </c>
      <c r="E466" s="36">
        <v>5230010020</v>
      </c>
      <c r="F466" s="23" t="s">
        <v>53</v>
      </c>
      <c r="G466" s="261">
        <v>824712</v>
      </c>
      <c r="H466" s="261">
        <v>824712</v>
      </c>
      <c r="I466" s="261">
        <v>824712</v>
      </c>
      <c r="K466" s="329"/>
      <c r="L466" s="329"/>
      <c r="M466" s="329"/>
      <c r="N466" s="329"/>
    </row>
    <row r="467" spans="1:14" x14ac:dyDescent="0.25">
      <c r="A467" s="18" t="s">
        <v>120</v>
      </c>
      <c r="B467" s="293" t="s">
        <v>218</v>
      </c>
      <c r="C467" s="19" t="s">
        <v>59</v>
      </c>
      <c r="D467" s="19" t="s">
        <v>30</v>
      </c>
      <c r="E467" s="19" t="s">
        <v>121</v>
      </c>
      <c r="F467" s="19"/>
      <c r="G467" s="259">
        <f>G468+G472</f>
        <v>2063000</v>
      </c>
      <c r="H467" s="259">
        <f>H468+H472</f>
        <v>2063000</v>
      </c>
      <c r="I467" s="259">
        <f>I468+I472</f>
        <v>2063000</v>
      </c>
      <c r="K467" s="329"/>
      <c r="L467" s="329"/>
      <c r="M467" s="329"/>
      <c r="N467" s="329"/>
    </row>
    <row r="468" spans="1:14" ht="45.75" x14ac:dyDescent="0.25">
      <c r="A468" s="22" t="s">
        <v>195</v>
      </c>
      <c r="B468" s="292">
        <v>701</v>
      </c>
      <c r="C468" s="23" t="s">
        <v>59</v>
      </c>
      <c r="D468" s="23" t="s">
        <v>30</v>
      </c>
      <c r="E468" s="23" t="s">
        <v>127</v>
      </c>
      <c r="F468" s="23"/>
      <c r="G468" s="260">
        <f>G469</f>
        <v>794000</v>
      </c>
      <c r="H468" s="260">
        <f t="shared" ref="H468:I468" si="161">H469</f>
        <v>794000</v>
      </c>
      <c r="I468" s="260">
        <f t="shared" si="161"/>
        <v>794000</v>
      </c>
      <c r="K468" s="329"/>
      <c r="L468" s="329"/>
      <c r="M468" s="329"/>
      <c r="N468" s="329"/>
    </row>
    <row r="469" spans="1:14" ht="45.75" x14ac:dyDescent="0.25">
      <c r="A469" s="22" t="s">
        <v>666</v>
      </c>
      <c r="B469" s="293" t="s">
        <v>218</v>
      </c>
      <c r="C469" s="23" t="s">
        <v>59</v>
      </c>
      <c r="D469" s="23" t="s">
        <v>30</v>
      </c>
      <c r="E469" s="23">
        <v>5530010030</v>
      </c>
      <c r="F469" s="23"/>
      <c r="G469" s="260">
        <f>SUM(G470:G471)</f>
        <v>794000</v>
      </c>
      <c r="H469" s="260">
        <f t="shared" ref="H469:I469" si="162">SUM(H470:H471)</f>
        <v>794000</v>
      </c>
      <c r="I469" s="260">
        <f t="shared" si="162"/>
        <v>794000</v>
      </c>
      <c r="K469" s="329"/>
      <c r="L469" s="329"/>
      <c r="M469" s="329"/>
      <c r="N469" s="329"/>
    </row>
    <row r="470" spans="1:14" ht="30.75" x14ac:dyDescent="0.25">
      <c r="A470" s="22" t="s">
        <v>26</v>
      </c>
      <c r="B470" s="292">
        <v>701</v>
      </c>
      <c r="C470" s="23" t="s">
        <v>59</v>
      </c>
      <c r="D470" s="23" t="s">
        <v>30</v>
      </c>
      <c r="E470" s="23">
        <v>5530010030</v>
      </c>
      <c r="F470" s="23" t="s">
        <v>27</v>
      </c>
      <c r="G470" s="260">
        <v>194000</v>
      </c>
      <c r="H470" s="260">
        <v>194000</v>
      </c>
      <c r="I470" s="260">
        <v>194000</v>
      </c>
      <c r="K470" s="329"/>
      <c r="L470" s="329"/>
      <c r="M470" s="329"/>
      <c r="N470" s="329"/>
    </row>
    <row r="471" spans="1:14" x14ac:dyDescent="0.25">
      <c r="A471" s="22" t="s">
        <v>52</v>
      </c>
      <c r="B471" s="293" t="s">
        <v>218</v>
      </c>
      <c r="C471" s="23" t="s">
        <v>59</v>
      </c>
      <c r="D471" s="23" t="s">
        <v>30</v>
      </c>
      <c r="E471" s="23">
        <v>5530010030</v>
      </c>
      <c r="F471" s="23" t="s">
        <v>53</v>
      </c>
      <c r="G471" s="260">
        <v>600000</v>
      </c>
      <c r="H471" s="260">
        <v>600000</v>
      </c>
      <c r="I471" s="260">
        <v>600000</v>
      </c>
      <c r="K471" s="329"/>
      <c r="L471" s="329"/>
      <c r="M471" s="329"/>
      <c r="N471" s="329"/>
    </row>
    <row r="472" spans="1:14" x14ac:dyDescent="0.25">
      <c r="A472" s="22" t="s">
        <v>50</v>
      </c>
      <c r="B472" s="292">
        <v>701</v>
      </c>
      <c r="C472" s="23" t="s">
        <v>59</v>
      </c>
      <c r="D472" s="23" t="s">
        <v>30</v>
      </c>
      <c r="E472" s="23" t="s">
        <v>122</v>
      </c>
      <c r="F472" s="23"/>
      <c r="G472" s="260">
        <f>G473</f>
        <v>1269000</v>
      </c>
      <c r="H472" s="260">
        <f t="shared" ref="H472:I473" si="163">H473</f>
        <v>1269000</v>
      </c>
      <c r="I472" s="260">
        <f t="shared" si="163"/>
        <v>1269000</v>
      </c>
      <c r="K472" s="329"/>
      <c r="L472" s="329"/>
      <c r="M472" s="329"/>
      <c r="N472" s="329"/>
    </row>
    <row r="473" spans="1:14" ht="45.75" x14ac:dyDescent="0.25">
      <c r="A473" s="22" t="s">
        <v>665</v>
      </c>
      <c r="B473" s="293" t="s">
        <v>218</v>
      </c>
      <c r="C473" s="23" t="s">
        <v>59</v>
      </c>
      <c r="D473" s="23" t="s">
        <v>30</v>
      </c>
      <c r="E473" s="23">
        <v>5540071020</v>
      </c>
      <c r="F473" s="23"/>
      <c r="G473" s="260">
        <f>G474</f>
        <v>1269000</v>
      </c>
      <c r="H473" s="260">
        <f t="shared" si="163"/>
        <v>1269000</v>
      </c>
      <c r="I473" s="260">
        <f t="shared" si="163"/>
        <v>1269000</v>
      </c>
      <c r="K473" s="329"/>
      <c r="L473" s="329"/>
      <c r="M473" s="329"/>
      <c r="N473" s="329"/>
    </row>
    <row r="474" spans="1:14" x14ac:dyDescent="0.25">
      <c r="A474" s="22" t="s">
        <v>52</v>
      </c>
      <c r="B474" s="292">
        <v>701</v>
      </c>
      <c r="C474" s="23" t="s">
        <v>59</v>
      </c>
      <c r="D474" s="23" t="s">
        <v>30</v>
      </c>
      <c r="E474" s="23">
        <v>5540071020</v>
      </c>
      <c r="F474" s="23" t="s">
        <v>53</v>
      </c>
      <c r="G474" s="260">
        <v>1269000</v>
      </c>
      <c r="H474" s="260">
        <v>1269000</v>
      </c>
      <c r="I474" s="260">
        <v>1269000</v>
      </c>
      <c r="K474" s="329"/>
      <c r="L474" s="329"/>
      <c r="M474" s="329"/>
      <c r="N474" s="329"/>
    </row>
    <row r="475" spans="1:14" ht="47.25" x14ac:dyDescent="0.25">
      <c r="A475" s="18" t="s">
        <v>41</v>
      </c>
      <c r="B475" s="293" t="s">
        <v>218</v>
      </c>
      <c r="C475" s="19" t="s">
        <v>59</v>
      </c>
      <c r="D475" s="19" t="s">
        <v>30</v>
      </c>
      <c r="E475" s="19" t="s">
        <v>42</v>
      </c>
      <c r="F475" s="19"/>
      <c r="G475" s="259">
        <f t="shared" ref="G475:I477" si="164">G476</f>
        <v>27236819.48</v>
      </c>
      <c r="H475" s="259">
        <f t="shared" si="164"/>
        <v>28000000</v>
      </c>
      <c r="I475" s="259">
        <f t="shared" si="164"/>
        <v>29000000</v>
      </c>
      <c r="K475" s="329"/>
      <c r="L475" s="329"/>
      <c r="M475" s="329"/>
      <c r="N475" s="329"/>
    </row>
    <row r="476" spans="1:14" ht="60.75" x14ac:dyDescent="0.25">
      <c r="A476" s="22" t="s">
        <v>208</v>
      </c>
      <c r="B476" s="292">
        <v>701</v>
      </c>
      <c r="C476" s="23" t="s">
        <v>59</v>
      </c>
      <c r="D476" s="23" t="s">
        <v>30</v>
      </c>
      <c r="E476" s="23" t="s">
        <v>44</v>
      </c>
      <c r="F476" s="23"/>
      <c r="G476" s="260">
        <f>G477</f>
        <v>27236819.48</v>
      </c>
      <c r="H476" s="260">
        <f t="shared" si="164"/>
        <v>28000000</v>
      </c>
      <c r="I476" s="260">
        <f t="shared" si="164"/>
        <v>29000000</v>
      </c>
      <c r="K476" s="329"/>
      <c r="L476" s="329"/>
      <c r="M476" s="329"/>
      <c r="N476" s="329"/>
    </row>
    <row r="477" spans="1:14" ht="30.75" x14ac:dyDescent="0.25">
      <c r="A477" s="22" t="s">
        <v>222</v>
      </c>
      <c r="B477" s="293" t="s">
        <v>218</v>
      </c>
      <c r="C477" s="23" t="s">
        <v>59</v>
      </c>
      <c r="D477" s="23" t="s">
        <v>30</v>
      </c>
      <c r="E477" s="23" t="s">
        <v>664</v>
      </c>
      <c r="F477" s="23"/>
      <c r="G477" s="260">
        <f>G478</f>
        <v>27236819.48</v>
      </c>
      <c r="H477" s="260">
        <f t="shared" si="164"/>
        <v>28000000</v>
      </c>
      <c r="I477" s="260">
        <f t="shared" si="164"/>
        <v>29000000</v>
      </c>
      <c r="K477" s="329"/>
      <c r="L477" s="329"/>
      <c r="M477" s="329"/>
      <c r="N477" s="329"/>
    </row>
    <row r="478" spans="1:14" x14ac:dyDescent="0.25">
      <c r="A478" s="22" t="s">
        <v>52</v>
      </c>
      <c r="B478" s="292">
        <v>701</v>
      </c>
      <c r="C478" s="23" t="s">
        <v>59</v>
      </c>
      <c r="D478" s="23" t="s">
        <v>30</v>
      </c>
      <c r="E478" s="23" t="s">
        <v>664</v>
      </c>
      <c r="F478" s="23" t="s">
        <v>53</v>
      </c>
      <c r="G478" s="260">
        <v>27236819.48</v>
      </c>
      <c r="H478" s="260">
        <v>28000000</v>
      </c>
      <c r="I478" s="260">
        <v>29000000</v>
      </c>
      <c r="K478" s="329"/>
      <c r="L478" s="329"/>
      <c r="M478" s="329"/>
      <c r="N478" s="329"/>
    </row>
    <row r="479" spans="1:14" x14ac:dyDescent="0.25">
      <c r="A479" s="18" t="s">
        <v>18</v>
      </c>
      <c r="B479" s="293" t="s">
        <v>218</v>
      </c>
      <c r="C479" s="19" t="s">
        <v>59</v>
      </c>
      <c r="D479" s="19" t="s">
        <v>30</v>
      </c>
      <c r="E479" s="19" t="s">
        <v>19</v>
      </c>
      <c r="F479" s="19"/>
      <c r="G479" s="20">
        <f t="shared" ref="G479:I480" si="165">G480</f>
        <v>13500000</v>
      </c>
      <c r="H479" s="20">
        <f t="shared" si="165"/>
        <v>13500000</v>
      </c>
      <c r="I479" s="20">
        <f t="shared" si="165"/>
        <v>13500000</v>
      </c>
      <c r="K479" s="329"/>
      <c r="L479" s="329"/>
      <c r="M479" s="329"/>
      <c r="N479" s="329"/>
    </row>
    <row r="480" spans="1:14" x14ac:dyDescent="0.25">
      <c r="A480" s="22" t="s">
        <v>56</v>
      </c>
      <c r="B480" s="292">
        <v>701</v>
      </c>
      <c r="C480" s="23" t="s">
        <v>59</v>
      </c>
      <c r="D480" s="23" t="s">
        <v>30</v>
      </c>
      <c r="E480" s="23" t="s">
        <v>38</v>
      </c>
      <c r="F480" s="23"/>
      <c r="G480" s="24">
        <f t="shared" si="165"/>
        <v>13500000</v>
      </c>
      <c r="H480" s="24">
        <f t="shared" si="165"/>
        <v>13500000</v>
      </c>
      <c r="I480" s="24">
        <f t="shared" si="165"/>
        <v>13500000</v>
      </c>
      <c r="K480" s="329"/>
      <c r="L480" s="329"/>
      <c r="M480" s="329"/>
      <c r="N480" s="329"/>
    </row>
    <row r="481" spans="1:14" ht="30.75" x14ac:dyDescent="0.25">
      <c r="A481" s="22" t="s">
        <v>185</v>
      </c>
      <c r="B481" s="293" t="s">
        <v>218</v>
      </c>
      <c r="C481" s="23" t="s">
        <v>59</v>
      </c>
      <c r="D481" s="23" t="s">
        <v>30</v>
      </c>
      <c r="E481" s="23" t="s">
        <v>186</v>
      </c>
      <c r="F481" s="23"/>
      <c r="G481" s="24">
        <f>SUM(G482:G483)</f>
        <v>13500000</v>
      </c>
      <c r="H481" s="24">
        <f>SUM(H482:H483)</f>
        <v>13500000</v>
      </c>
      <c r="I481" s="24">
        <f>SUM(I482:I483)</f>
        <v>13500000</v>
      </c>
      <c r="K481" s="329"/>
      <c r="L481" s="329"/>
      <c r="M481" s="329"/>
      <c r="N481" s="329"/>
    </row>
    <row r="482" spans="1:14" ht="30.75" x14ac:dyDescent="0.25">
      <c r="A482" s="22" t="s">
        <v>26</v>
      </c>
      <c r="B482" s="292">
        <v>701</v>
      </c>
      <c r="C482" s="23" t="s">
        <v>59</v>
      </c>
      <c r="D482" s="23" t="s">
        <v>30</v>
      </c>
      <c r="E482" s="23" t="s">
        <v>186</v>
      </c>
      <c r="F482" s="23" t="s">
        <v>27</v>
      </c>
      <c r="G482" s="24">
        <f>'Приложение 2'!F207</f>
        <v>197734</v>
      </c>
      <c r="H482" s="24">
        <f>'Приложение 2'!G207</f>
        <v>197734</v>
      </c>
      <c r="I482" s="24">
        <f>'Приложение 2'!H207</f>
        <v>197734</v>
      </c>
      <c r="K482" s="329"/>
      <c r="L482" s="329"/>
      <c r="M482" s="329"/>
      <c r="N482" s="329"/>
    </row>
    <row r="483" spans="1:14" x14ac:dyDescent="0.25">
      <c r="A483" s="22" t="s">
        <v>52</v>
      </c>
      <c r="B483" s="292">
        <v>701</v>
      </c>
      <c r="C483" s="23" t="s">
        <v>59</v>
      </c>
      <c r="D483" s="23" t="s">
        <v>30</v>
      </c>
      <c r="E483" s="23" t="s">
        <v>186</v>
      </c>
      <c r="F483" s="23" t="s">
        <v>53</v>
      </c>
      <c r="G483" s="24">
        <f>'Приложение 2'!F208</f>
        <v>13302266</v>
      </c>
      <c r="H483" s="24">
        <f>'Приложение 2'!G208</f>
        <v>13302266</v>
      </c>
      <c r="I483" s="24">
        <f>'Приложение 2'!H208</f>
        <v>13302266</v>
      </c>
      <c r="K483" s="329"/>
      <c r="L483" s="329"/>
      <c r="M483" s="329"/>
      <c r="N483" s="329"/>
    </row>
    <row r="484" spans="1:14" ht="30.75" hidden="1" x14ac:dyDescent="0.25">
      <c r="A484" s="22" t="s">
        <v>124</v>
      </c>
      <c r="B484" s="293" t="s">
        <v>218</v>
      </c>
      <c r="C484" s="23" t="s">
        <v>59</v>
      </c>
      <c r="D484" s="23" t="s">
        <v>30</v>
      </c>
      <c r="E484" s="23" t="s">
        <v>38</v>
      </c>
      <c r="F484" s="23" t="s">
        <v>49</v>
      </c>
      <c r="G484" s="24"/>
      <c r="H484" s="24"/>
      <c r="I484" s="28"/>
      <c r="K484" s="329"/>
      <c r="L484" s="329"/>
      <c r="M484" s="329"/>
      <c r="N484" s="329"/>
    </row>
    <row r="485" spans="1:14" s="27" customFormat="1" x14ac:dyDescent="0.25">
      <c r="A485" s="18" t="s">
        <v>128</v>
      </c>
      <c r="B485" s="292">
        <v>701</v>
      </c>
      <c r="C485" s="19" t="s">
        <v>59</v>
      </c>
      <c r="D485" s="19" t="s">
        <v>32</v>
      </c>
      <c r="E485" s="19"/>
      <c r="F485" s="19"/>
      <c r="G485" s="20">
        <f>G486+G497+G507</f>
        <v>17671951.829999998</v>
      </c>
      <c r="H485" s="20">
        <f>H486+H497+H507</f>
        <v>13698632.059999999</v>
      </c>
      <c r="I485" s="20">
        <f>I486+I497+I507</f>
        <v>13794842.059999999</v>
      </c>
      <c r="J485" s="94"/>
      <c r="K485" s="339"/>
      <c r="L485" s="339"/>
      <c r="M485" s="339"/>
      <c r="N485" s="339"/>
    </row>
    <row r="486" spans="1:14" s="27" customFormat="1" ht="31.5" x14ac:dyDescent="0.25">
      <c r="A486" s="18" t="s">
        <v>129</v>
      </c>
      <c r="B486" s="293" t="s">
        <v>218</v>
      </c>
      <c r="C486" s="19" t="s">
        <v>59</v>
      </c>
      <c r="D486" s="19" t="s">
        <v>32</v>
      </c>
      <c r="E486" s="19" t="s">
        <v>130</v>
      </c>
      <c r="F486" s="19"/>
      <c r="G486" s="259">
        <f>G487</f>
        <v>3173334.09</v>
      </c>
      <c r="H486" s="259">
        <f>H487</f>
        <v>2995900</v>
      </c>
      <c r="I486" s="259">
        <f>I487</f>
        <v>2995900</v>
      </c>
      <c r="J486" s="94"/>
      <c r="K486" s="339"/>
      <c r="L486" s="339"/>
      <c r="M486" s="339"/>
      <c r="N486" s="339"/>
    </row>
    <row r="487" spans="1:14" s="27" customFormat="1" ht="30" x14ac:dyDescent="0.25">
      <c r="A487" s="239" t="s">
        <v>209</v>
      </c>
      <c r="B487" s="292">
        <v>701</v>
      </c>
      <c r="C487" s="23" t="s">
        <v>59</v>
      </c>
      <c r="D487" s="23" t="s">
        <v>32</v>
      </c>
      <c r="E487" s="23" t="s">
        <v>131</v>
      </c>
      <c r="F487" s="23"/>
      <c r="G487" s="260">
        <f>G488+G492+G494</f>
        <v>3173334.09</v>
      </c>
      <c r="H487" s="260">
        <f t="shared" ref="H487:I487" si="166">H488+H492+H494</f>
        <v>2995900</v>
      </c>
      <c r="I487" s="260">
        <f t="shared" si="166"/>
        <v>2995900</v>
      </c>
      <c r="J487" s="94"/>
      <c r="K487" s="339"/>
      <c r="L487" s="339"/>
      <c r="M487" s="339"/>
      <c r="N487" s="339"/>
    </row>
    <row r="488" spans="1:14" s="27" customFormat="1" ht="30" x14ac:dyDescent="0.25">
      <c r="A488" s="240" t="s">
        <v>668</v>
      </c>
      <c r="B488" s="293" t="s">
        <v>218</v>
      </c>
      <c r="C488" s="23" t="s">
        <v>59</v>
      </c>
      <c r="D488" s="23" t="s">
        <v>32</v>
      </c>
      <c r="E488" s="23">
        <v>5430010001</v>
      </c>
      <c r="F488" s="23"/>
      <c r="G488" s="260">
        <f>SUM(G489:G491)</f>
        <v>2803334.09</v>
      </c>
      <c r="H488" s="260">
        <f t="shared" ref="H488:I488" si="167">SUM(H489:H491)</f>
        <v>2625900</v>
      </c>
      <c r="I488" s="260">
        <f t="shared" si="167"/>
        <v>2625900</v>
      </c>
      <c r="J488" s="94"/>
      <c r="K488" s="339"/>
      <c r="L488" s="339"/>
      <c r="M488" s="339"/>
      <c r="N488" s="339"/>
    </row>
    <row r="489" spans="1:14" s="27" customFormat="1" ht="75" x14ac:dyDescent="0.25">
      <c r="A489" s="240" t="s">
        <v>22</v>
      </c>
      <c r="B489" s="292">
        <v>701</v>
      </c>
      <c r="C489" s="23" t="s">
        <v>59</v>
      </c>
      <c r="D489" s="23" t="s">
        <v>32</v>
      </c>
      <c r="E489" s="23">
        <v>5430010001</v>
      </c>
      <c r="F489" s="23" t="s">
        <v>23</v>
      </c>
      <c r="G489" s="261">
        <v>272580</v>
      </c>
      <c r="H489" s="261">
        <v>272580</v>
      </c>
      <c r="I489" s="261">
        <v>272580</v>
      </c>
      <c r="J489" s="94"/>
      <c r="K489" s="339"/>
      <c r="L489" s="339"/>
      <c r="M489" s="339"/>
      <c r="N489" s="339"/>
    </row>
    <row r="490" spans="1:14" s="27" customFormat="1" ht="30.75" x14ac:dyDescent="0.25">
      <c r="A490" s="22" t="s">
        <v>26</v>
      </c>
      <c r="B490" s="293" t="s">
        <v>218</v>
      </c>
      <c r="C490" s="23" t="s">
        <v>59</v>
      </c>
      <c r="D490" s="23" t="s">
        <v>32</v>
      </c>
      <c r="E490" s="23" t="s">
        <v>685</v>
      </c>
      <c r="F490" s="23" t="s">
        <v>27</v>
      </c>
      <c r="G490" s="261">
        <f>1218924.62+177434.09</f>
        <v>1396358.7100000002</v>
      </c>
      <c r="H490" s="261">
        <v>1218924.6200000001</v>
      </c>
      <c r="I490" s="261">
        <v>1218924.6200000001</v>
      </c>
      <c r="J490" s="94"/>
      <c r="K490" s="339"/>
      <c r="L490" s="339"/>
      <c r="M490" s="339"/>
      <c r="N490" s="339"/>
    </row>
    <row r="491" spans="1:14" s="27" customFormat="1" x14ac:dyDescent="0.25">
      <c r="A491" s="22" t="s">
        <v>52</v>
      </c>
      <c r="B491" s="292">
        <v>701</v>
      </c>
      <c r="C491" s="23" t="s">
        <v>59</v>
      </c>
      <c r="D491" s="23" t="s">
        <v>32</v>
      </c>
      <c r="E491" s="23">
        <v>5430010001</v>
      </c>
      <c r="F491" s="23" t="s">
        <v>53</v>
      </c>
      <c r="G491" s="261">
        <v>1134395.3799999999</v>
      </c>
      <c r="H491" s="261">
        <v>1134395.3799999999</v>
      </c>
      <c r="I491" s="261">
        <v>1134395.3799999999</v>
      </c>
      <c r="J491" s="94"/>
      <c r="K491" s="339"/>
      <c r="L491" s="339"/>
      <c r="M491" s="339"/>
      <c r="N491" s="339"/>
    </row>
    <row r="492" spans="1:14" s="27" customFormat="1" ht="30.75" x14ac:dyDescent="0.25">
      <c r="A492" s="22" t="s">
        <v>669</v>
      </c>
      <c r="B492" s="293" t="s">
        <v>218</v>
      </c>
      <c r="C492" s="23" t="s">
        <v>59</v>
      </c>
      <c r="D492" s="23" t="s">
        <v>32</v>
      </c>
      <c r="E492" s="23">
        <v>5430010002</v>
      </c>
      <c r="F492" s="23"/>
      <c r="G492" s="261">
        <f>G493</f>
        <v>50000</v>
      </c>
      <c r="H492" s="261">
        <f t="shared" ref="H492:I492" si="168">H493</f>
        <v>50000</v>
      </c>
      <c r="I492" s="261">
        <f t="shared" si="168"/>
        <v>50000</v>
      </c>
      <c r="J492" s="94"/>
      <c r="K492" s="339"/>
      <c r="L492" s="339"/>
      <c r="M492" s="339"/>
      <c r="N492" s="339"/>
    </row>
    <row r="493" spans="1:14" s="27" customFormat="1" ht="30.75" x14ac:dyDescent="0.25">
      <c r="A493" s="22" t="s">
        <v>26</v>
      </c>
      <c r="B493" s="292">
        <v>701</v>
      </c>
      <c r="C493" s="23" t="s">
        <v>59</v>
      </c>
      <c r="D493" s="23" t="s">
        <v>32</v>
      </c>
      <c r="E493" s="23">
        <v>5430010002</v>
      </c>
      <c r="F493" s="23" t="s">
        <v>27</v>
      </c>
      <c r="G493" s="261">
        <v>50000</v>
      </c>
      <c r="H493" s="261">
        <v>50000</v>
      </c>
      <c r="I493" s="261">
        <v>50000</v>
      </c>
      <c r="J493" s="94"/>
      <c r="K493" s="339"/>
      <c r="L493" s="339"/>
      <c r="M493" s="339"/>
      <c r="N493" s="339"/>
    </row>
    <row r="494" spans="1:14" s="27" customFormat="1" ht="30.75" x14ac:dyDescent="0.25">
      <c r="A494" s="22" t="s">
        <v>670</v>
      </c>
      <c r="B494" s="293" t="s">
        <v>218</v>
      </c>
      <c r="C494" s="23" t="s">
        <v>59</v>
      </c>
      <c r="D494" s="23" t="s">
        <v>32</v>
      </c>
      <c r="E494" s="23">
        <v>5430010020</v>
      </c>
      <c r="F494" s="23"/>
      <c r="G494" s="261">
        <f>SUM(G495:G496)</f>
        <v>320000</v>
      </c>
      <c r="H494" s="261">
        <f t="shared" ref="H494:I494" si="169">SUM(H495:H496)</f>
        <v>320000</v>
      </c>
      <c r="I494" s="261">
        <f t="shared" si="169"/>
        <v>320000</v>
      </c>
      <c r="J494" s="94"/>
      <c r="K494" s="339"/>
      <c r="L494" s="339"/>
      <c r="M494" s="339"/>
      <c r="N494" s="339"/>
    </row>
    <row r="495" spans="1:14" s="27" customFormat="1" ht="30.75" x14ac:dyDescent="0.25">
      <c r="A495" s="22" t="s">
        <v>26</v>
      </c>
      <c r="B495" s="293" t="s">
        <v>218</v>
      </c>
      <c r="C495" s="23" t="s">
        <v>59</v>
      </c>
      <c r="D495" s="23" t="s">
        <v>32</v>
      </c>
      <c r="E495" s="23">
        <v>5430010020</v>
      </c>
      <c r="F495" s="23" t="s">
        <v>27</v>
      </c>
      <c r="G495" s="261">
        <v>320000</v>
      </c>
      <c r="H495" s="261">
        <v>0</v>
      </c>
      <c r="I495" s="261">
        <v>0</v>
      </c>
      <c r="J495" s="94"/>
      <c r="K495" s="339"/>
      <c r="L495" s="339"/>
      <c r="M495" s="339"/>
      <c r="N495" s="339"/>
    </row>
    <row r="496" spans="1:14" s="27" customFormat="1" x14ac:dyDescent="0.25">
      <c r="A496" s="22" t="s">
        <v>52</v>
      </c>
      <c r="B496" s="292">
        <v>701</v>
      </c>
      <c r="C496" s="23" t="s">
        <v>59</v>
      </c>
      <c r="D496" s="23" t="s">
        <v>32</v>
      </c>
      <c r="E496" s="23">
        <v>5430010020</v>
      </c>
      <c r="F496" s="23" t="s">
        <v>53</v>
      </c>
      <c r="G496" s="261">
        <f>320000-320000</f>
        <v>0</v>
      </c>
      <c r="H496" s="261">
        <v>320000</v>
      </c>
      <c r="I496" s="261">
        <v>320000</v>
      </c>
      <c r="J496" s="94"/>
      <c r="K496" s="339"/>
      <c r="L496" s="339"/>
      <c r="M496" s="339"/>
      <c r="N496" s="339"/>
    </row>
    <row r="497" spans="1:14" x14ac:dyDescent="0.25">
      <c r="A497" s="18" t="s">
        <v>120</v>
      </c>
      <c r="B497" s="293" t="s">
        <v>218</v>
      </c>
      <c r="C497" s="19" t="s">
        <v>59</v>
      </c>
      <c r="D497" s="19" t="s">
        <v>32</v>
      </c>
      <c r="E497" s="19" t="s">
        <v>121</v>
      </c>
      <c r="F497" s="19"/>
      <c r="G497" s="259">
        <f>G498+G504</f>
        <v>3034669.83</v>
      </c>
      <c r="H497" s="259">
        <f>H498+H504</f>
        <v>4167343.44</v>
      </c>
      <c r="I497" s="259">
        <f>I498+I504</f>
        <v>4167343.44</v>
      </c>
      <c r="K497" s="329"/>
      <c r="L497" s="329"/>
      <c r="M497" s="329"/>
      <c r="N497" s="329"/>
    </row>
    <row r="498" spans="1:14" ht="45.75" x14ac:dyDescent="0.25">
      <c r="A498" s="22" t="s">
        <v>195</v>
      </c>
      <c r="B498" s="292">
        <v>701</v>
      </c>
      <c r="C498" s="23" t="s">
        <v>59</v>
      </c>
      <c r="D498" s="23" t="s">
        <v>32</v>
      </c>
      <c r="E498" s="23" t="s">
        <v>127</v>
      </c>
      <c r="F498" s="23"/>
      <c r="G498" s="260">
        <f>G499</f>
        <v>998195.83000000007</v>
      </c>
      <c r="H498" s="260">
        <f t="shared" ref="H498:I498" si="170">H499</f>
        <v>1787343.44</v>
      </c>
      <c r="I498" s="260">
        <f t="shared" si="170"/>
        <v>1787343.44</v>
      </c>
      <c r="K498" s="329"/>
      <c r="L498" s="329"/>
      <c r="M498" s="329"/>
      <c r="N498" s="329"/>
    </row>
    <row r="499" spans="1:14" ht="60.75" x14ac:dyDescent="0.25">
      <c r="A499" s="22" t="s">
        <v>667</v>
      </c>
      <c r="B499" s="293" t="s">
        <v>218</v>
      </c>
      <c r="C499" s="23" t="s">
        <v>59</v>
      </c>
      <c r="D499" s="23" t="s">
        <v>32</v>
      </c>
      <c r="E499" s="23">
        <v>5530010070</v>
      </c>
      <c r="F499" s="23"/>
      <c r="G499" s="260">
        <f>SUM(G500:G503)</f>
        <v>998195.83000000007</v>
      </c>
      <c r="H499" s="260">
        <f t="shared" ref="H499:I499" si="171">SUM(H500:H503)</f>
        <v>1787343.44</v>
      </c>
      <c r="I499" s="260">
        <f t="shared" si="171"/>
        <v>1787343.44</v>
      </c>
      <c r="K499" s="329"/>
      <c r="L499" s="329"/>
      <c r="M499" s="329"/>
      <c r="N499" s="329"/>
    </row>
    <row r="500" spans="1:14" ht="75.75" hidden="1" x14ac:dyDescent="0.25">
      <c r="A500" s="22" t="s">
        <v>22</v>
      </c>
      <c r="B500" s="292">
        <v>701</v>
      </c>
      <c r="C500" s="23" t="s">
        <v>59</v>
      </c>
      <c r="D500" s="23" t="s">
        <v>32</v>
      </c>
      <c r="E500" s="23">
        <v>5530010070</v>
      </c>
      <c r="F500" s="23" t="s">
        <v>23</v>
      </c>
      <c r="G500" s="260">
        <v>0</v>
      </c>
      <c r="H500" s="260">
        <v>0</v>
      </c>
      <c r="I500" s="261">
        <v>0</v>
      </c>
      <c r="K500" s="329"/>
      <c r="L500" s="329"/>
      <c r="M500" s="329"/>
      <c r="N500" s="329"/>
    </row>
    <row r="501" spans="1:14" ht="30.75" x14ac:dyDescent="0.25">
      <c r="A501" s="22" t="s">
        <v>26</v>
      </c>
      <c r="B501" s="292">
        <v>701</v>
      </c>
      <c r="C501" s="23" t="s">
        <v>59</v>
      </c>
      <c r="D501" s="23" t="s">
        <v>32</v>
      </c>
      <c r="E501" s="23">
        <v>5530010070</v>
      </c>
      <c r="F501" s="23" t="s">
        <v>27</v>
      </c>
      <c r="G501" s="261">
        <v>827638.63</v>
      </c>
      <c r="H501" s="261">
        <v>1609963.95</v>
      </c>
      <c r="I501" s="261">
        <v>1609963.95</v>
      </c>
      <c r="K501" s="329"/>
      <c r="L501" s="329"/>
      <c r="M501" s="329"/>
      <c r="N501" s="329"/>
    </row>
    <row r="502" spans="1:14" x14ac:dyDescent="0.25">
      <c r="A502" s="22" t="s">
        <v>52</v>
      </c>
      <c r="B502" s="293" t="s">
        <v>218</v>
      </c>
      <c r="C502" s="23" t="s">
        <v>59</v>
      </c>
      <c r="D502" s="23" t="s">
        <v>32</v>
      </c>
      <c r="E502" s="23">
        <v>5530010070</v>
      </c>
      <c r="F502" s="23" t="s">
        <v>53</v>
      </c>
      <c r="G502" s="261">
        <v>170557.2</v>
      </c>
      <c r="H502" s="261">
        <v>177379.49</v>
      </c>
      <c r="I502" s="261">
        <v>177379.49</v>
      </c>
      <c r="K502" s="329"/>
      <c r="L502" s="329"/>
      <c r="M502" s="329"/>
      <c r="N502" s="329"/>
    </row>
    <row r="503" spans="1:14" hidden="1" x14ac:dyDescent="0.25">
      <c r="A503" s="22" t="s">
        <v>28</v>
      </c>
      <c r="B503" s="292">
        <v>701</v>
      </c>
      <c r="C503" s="23" t="s">
        <v>59</v>
      </c>
      <c r="D503" s="23" t="s">
        <v>32</v>
      </c>
      <c r="E503" s="23">
        <v>5530010070</v>
      </c>
      <c r="F503" s="23" t="s">
        <v>29</v>
      </c>
      <c r="G503" s="261">
        <f>'Приложение 3'!F337</f>
        <v>0</v>
      </c>
      <c r="H503" s="261">
        <f>'Приложение 3'!G337</f>
        <v>0</v>
      </c>
      <c r="I503" s="261">
        <f>'Приложение 3'!H337</f>
        <v>0</v>
      </c>
      <c r="K503" s="329"/>
      <c r="L503" s="329"/>
      <c r="M503" s="329"/>
      <c r="N503" s="329"/>
    </row>
    <row r="504" spans="1:14" x14ac:dyDescent="0.25">
      <c r="A504" s="22" t="s">
        <v>50</v>
      </c>
      <c r="B504" s="293" t="s">
        <v>218</v>
      </c>
      <c r="C504" s="23" t="s">
        <v>59</v>
      </c>
      <c r="D504" s="23" t="s">
        <v>32</v>
      </c>
      <c r="E504" s="23" t="s">
        <v>122</v>
      </c>
      <c r="F504" s="23"/>
      <c r="G504" s="260">
        <f>G505</f>
        <v>2036474</v>
      </c>
      <c r="H504" s="260">
        <f t="shared" ref="H504:I505" si="172">H505</f>
        <v>2380000</v>
      </c>
      <c r="I504" s="260">
        <f t="shared" si="172"/>
        <v>2380000</v>
      </c>
      <c r="K504" s="329"/>
      <c r="L504" s="329"/>
      <c r="M504" s="329"/>
      <c r="N504" s="329"/>
    </row>
    <row r="505" spans="1:14" ht="45.75" x14ac:dyDescent="0.25">
      <c r="A505" s="22" t="s">
        <v>665</v>
      </c>
      <c r="B505" s="292">
        <v>701</v>
      </c>
      <c r="C505" s="23" t="s">
        <v>59</v>
      </c>
      <c r="D505" s="23" t="s">
        <v>32</v>
      </c>
      <c r="E505" s="23">
        <v>5540071020</v>
      </c>
      <c r="F505" s="23"/>
      <c r="G505" s="260">
        <f>G506</f>
        <v>2036474</v>
      </c>
      <c r="H505" s="260">
        <f t="shared" si="172"/>
        <v>2380000</v>
      </c>
      <c r="I505" s="260">
        <f t="shared" si="172"/>
        <v>2380000</v>
      </c>
      <c r="K505" s="329"/>
      <c r="L505" s="329"/>
      <c r="M505" s="329"/>
      <c r="N505" s="329"/>
    </row>
    <row r="506" spans="1:14" x14ac:dyDescent="0.25">
      <c r="A506" s="22" t="s">
        <v>52</v>
      </c>
      <c r="B506" s="293" t="s">
        <v>218</v>
      </c>
      <c r="C506" s="23" t="s">
        <v>59</v>
      </c>
      <c r="D506" s="23" t="s">
        <v>32</v>
      </c>
      <c r="E506" s="23">
        <v>5540071020</v>
      </c>
      <c r="F506" s="23" t="s">
        <v>53</v>
      </c>
      <c r="G506" s="260">
        <f>2380000-343526</f>
        <v>2036474</v>
      </c>
      <c r="H506" s="260">
        <v>2380000</v>
      </c>
      <c r="I506" s="260">
        <v>2380000</v>
      </c>
      <c r="K506" s="329"/>
      <c r="L506" s="329"/>
      <c r="M506" s="329"/>
      <c r="N506" s="329"/>
    </row>
    <row r="507" spans="1:14" x14ac:dyDescent="0.25">
      <c r="A507" s="18" t="s">
        <v>18</v>
      </c>
      <c r="B507" s="292">
        <v>701</v>
      </c>
      <c r="C507" s="19" t="s">
        <v>59</v>
      </c>
      <c r="D507" s="19" t="s">
        <v>32</v>
      </c>
      <c r="E507" s="19" t="s">
        <v>19</v>
      </c>
      <c r="F507" s="23"/>
      <c r="G507" s="20">
        <f>G508+G511</f>
        <v>11463947.91</v>
      </c>
      <c r="H507" s="20">
        <f>H508+H511</f>
        <v>6535388.6200000001</v>
      </c>
      <c r="I507" s="20">
        <f>I508+I511</f>
        <v>6631598.6200000001</v>
      </c>
      <c r="K507" s="329"/>
      <c r="L507" s="329"/>
      <c r="M507" s="329"/>
      <c r="N507" s="329"/>
    </row>
    <row r="508" spans="1:14" ht="30.75" x14ac:dyDescent="0.25">
      <c r="A508" s="22" t="s">
        <v>20</v>
      </c>
      <c r="B508" s="293" t="s">
        <v>218</v>
      </c>
      <c r="C508" s="23" t="s">
        <v>59</v>
      </c>
      <c r="D508" s="23" t="s">
        <v>32</v>
      </c>
      <c r="E508" s="23" t="s">
        <v>21</v>
      </c>
      <c r="F508" s="23"/>
      <c r="G508" s="24">
        <f t="shared" ref="G508:I509" si="173">G509</f>
        <v>4611188.62</v>
      </c>
      <c r="H508" s="24">
        <f t="shared" si="173"/>
        <v>4611188.62</v>
      </c>
      <c r="I508" s="24">
        <f t="shared" si="173"/>
        <v>4611188.62</v>
      </c>
      <c r="K508" s="329"/>
      <c r="L508" s="329"/>
      <c r="M508" s="329"/>
      <c r="N508" s="329"/>
    </row>
    <row r="509" spans="1:14" ht="30.75" x14ac:dyDescent="0.25">
      <c r="A509" s="22" t="s">
        <v>159</v>
      </c>
      <c r="B509" s="292">
        <v>701</v>
      </c>
      <c r="C509" s="23" t="s">
        <v>59</v>
      </c>
      <c r="D509" s="23" t="s">
        <v>32</v>
      </c>
      <c r="E509" s="23" t="s">
        <v>160</v>
      </c>
      <c r="F509" s="23"/>
      <c r="G509" s="24">
        <f t="shared" si="173"/>
        <v>4611188.62</v>
      </c>
      <c r="H509" s="24">
        <f t="shared" si="173"/>
        <v>4611188.62</v>
      </c>
      <c r="I509" s="24">
        <f t="shared" si="173"/>
        <v>4611188.62</v>
      </c>
      <c r="K509" s="329"/>
      <c r="L509" s="329"/>
      <c r="M509" s="329"/>
      <c r="N509" s="329"/>
    </row>
    <row r="510" spans="1:14" ht="75.75" x14ac:dyDescent="0.25">
      <c r="A510" s="22" t="s">
        <v>22</v>
      </c>
      <c r="B510" s="293" t="s">
        <v>218</v>
      </c>
      <c r="C510" s="23" t="s">
        <v>59</v>
      </c>
      <c r="D510" s="23" t="s">
        <v>32</v>
      </c>
      <c r="E510" s="23" t="s">
        <v>160</v>
      </c>
      <c r="F510" s="23" t="s">
        <v>23</v>
      </c>
      <c r="G510" s="24">
        <f>'Приложение 2'!F214</f>
        <v>4611188.62</v>
      </c>
      <c r="H510" s="24">
        <f>'Приложение 2'!G214</f>
        <v>4611188.62</v>
      </c>
      <c r="I510" s="24">
        <f>'Приложение 2'!H214</f>
        <v>4611188.62</v>
      </c>
      <c r="K510" s="329"/>
      <c r="L510" s="329"/>
      <c r="M510" s="329"/>
      <c r="N510" s="329"/>
    </row>
    <row r="511" spans="1:14" x14ac:dyDescent="0.25">
      <c r="A511" s="22" t="s">
        <v>56</v>
      </c>
      <c r="B511" s="292">
        <v>701</v>
      </c>
      <c r="C511" s="23" t="s">
        <v>59</v>
      </c>
      <c r="D511" s="23" t="s">
        <v>32</v>
      </c>
      <c r="E511" s="23" t="s">
        <v>38</v>
      </c>
      <c r="F511" s="23"/>
      <c r="G511" s="24">
        <f>G516+G514+G512</f>
        <v>6852759.29</v>
      </c>
      <c r="H511" s="24">
        <f t="shared" ref="H511:I511" si="174">H516+H514+H512</f>
        <v>1924200</v>
      </c>
      <c r="I511" s="24">
        <f t="shared" si="174"/>
        <v>2020410</v>
      </c>
      <c r="K511" s="329"/>
      <c r="L511" s="329"/>
      <c r="M511" s="329"/>
      <c r="N511" s="329"/>
    </row>
    <row r="512" spans="1:14" ht="30.75" x14ac:dyDescent="0.25">
      <c r="A512" s="22" t="s">
        <v>680</v>
      </c>
      <c r="B512" s="293" t="s">
        <v>218</v>
      </c>
      <c r="C512" s="23" t="s">
        <v>59</v>
      </c>
      <c r="D512" s="23" t="s">
        <v>32</v>
      </c>
      <c r="E512" s="23" t="s">
        <v>679</v>
      </c>
      <c r="F512" s="23"/>
      <c r="G512" s="24">
        <f>G513</f>
        <v>3875239.29</v>
      </c>
      <c r="H512" s="24">
        <f t="shared" ref="H512:I512" si="175">H513</f>
        <v>0</v>
      </c>
      <c r="I512" s="24">
        <f t="shared" si="175"/>
        <v>0</v>
      </c>
      <c r="K512" s="329"/>
      <c r="L512" s="329"/>
      <c r="M512" s="329"/>
      <c r="N512" s="329"/>
    </row>
    <row r="513" spans="1:14" x14ac:dyDescent="0.25">
      <c r="A513" s="22" t="s">
        <v>52</v>
      </c>
      <c r="B513" s="292">
        <v>701</v>
      </c>
      <c r="C513" s="23" t="s">
        <v>59</v>
      </c>
      <c r="D513" s="23" t="s">
        <v>32</v>
      </c>
      <c r="E513" s="23" t="s">
        <v>679</v>
      </c>
      <c r="F513" s="23" t="s">
        <v>53</v>
      </c>
      <c r="G513" s="24">
        <f>'Приложение 2'!F217</f>
        <v>3875239.29</v>
      </c>
      <c r="H513" s="24">
        <f>'Приложение 2'!G217</f>
        <v>0</v>
      </c>
      <c r="I513" s="24">
        <f>'Приложение 2'!H217</f>
        <v>0</v>
      </c>
      <c r="K513" s="329"/>
      <c r="L513" s="329"/>
      <c r="M513" s="329"/>
      <c r="N513" s="329"/>
    </row>
    <row r="514" spans="1:14" ht="30.75" x14ac:dyDescent="0.25">
      <c r="A514" s="22" t="s">
        <v>185</v>
      </c>
      <c r="B514" s="293" t="s">
        <v>218</v>
      </c>
      <c r="C514" s="23" t="s">
        <v>59</v>
      </c>
      <c r="D514" s="23" t="s">
        <v>32</v>
      </c>
      <c r="E514" s="23" t="s">
        <v>186</v>
      </c>
      <c r="F514" s="23"/>
      <c r="G514" s="24">
        <f>G515</f>
        <v>1149530</v>
      </c>
      <c r="H514" s="24">
        <f t="shared" ref="H514:I514" si="176">H515</f>
        <v>0</v>
      </c>
      <c r="I514" s="24">
        <f t="shared" si="176"/>
        <v>0</v>
      </c>
      <c r="K514" s="329"/>
      <c r="L514" s="329"/>
      <c r="M514" s="329"/>
      <c r="N514" s="329"/>
    </row>
    <row r="515" spans="1:14" x14ac:dyDescent="0.25">
      <c r="A515" s="22" t="s">
        <v>52</v>
      </c>
      <c r="B515" s="292">
        <v>701</v>
      </c>
      <c r="C515" s="23" t="s">
        <v>59</v>
      </c>
      <c r="D515" s="23" t="s">
        <v>32</v>
      </c>
      <c r="E515" s="23" t="s">
        <v>186</v>
      </c>
      <c r="F515" s="23" t="s">
        <v>53</v>
      </c>
      <c r="G515" s="24">
        <f>'Приложение 2'!F219</f>
        <v>1149530</v>
      </c>
      <c r="H515" s="24">
        <f>'Приложение 2'!G219</f>
        <v>0</v>
      </c>
      <c r="I515" s="24">
        <f>'Приложение 2'!H219</f>
        <v>0</v>
      </c>
      <c r="K515" s="329"/>
      <c r="L515" s="329"/>
      <c r="M515" s="329"/>
      <c r="N515" s="329"/>
    </row>
    <row r="516" spans="1:14" ht="30.75" x14ac:dyDescent="0.25">
      <c r="A516" s="22" t="s">
        <v>187</v>
      </c>
      <c r="B516" s="293" t="s">
        <v>218</v>
      </c>
      <c r="C516" s="23" t="s">
        <v>59</v>
      </c>
      <c r="D516" s="23" t="s">
        <v>32</v>
      </c>
      <c r="E516" s="23" t="s">
        <v>188</v>
      </c>
      <c r="F516" s="23"/>
      <c r="G516" s="24">
        <f t="shared" ref="G516:I516" si="177">G517</f>
        <v>1827990</v>
      </c>
      <c r="H516" s="24">
        <f t="shared" si="177"/>
        <v>1924200</v>
      </c>
      <c r="I516" s="24">
        <f t="shared" si="177"/>
        <v>2020410</v>
      </c>
      <c r="K516" s="329"/>
      <c r="L516" s="329"/>
      <c r="M516" s="329"/>
      <c r="N516" s="329"/>
    </row>
    <row r="517" spans="1:14" x14ac:dyDescent="0.25">
      <c r="A517" s="22" t="s">
        <v>52</v>
      </c>
      <c r="B517" s="292">
        <v>701</v>
      </c>
      <c r="C517" s="23" t="s">
        <v>59</v>
      </c>
      <c r="D517" s="23" t="s">
        <v>32</v>
      </c>
      <c r="E517" s="23" t="s">
        <v>188</v>
      </c>
      <c r="F517" s="23" t="s">
        <v>53</v>
      </c>
      <c r="G517" s="24">
        <f>'Приложение 2'!F222</f>
        <v>1827990</v>
      </c>
      <c r="H517" s="24">
        <f>'Приложение 2'!G222</f>
        <v>1924200</v>
      </c>
      <c r="I517" s="24">
        <f>'Приложение 2'!H222</f>
        <v>2020410</v>
      </c>
      <c r="K517" s="329"/>
      <c r="L517" s="329"/>
      <c r="M517" s="329"/>
      <c r="N517" s="329"/>
    </row>
    <row r="518" spans="1:14" x14ac:dyDescent="0.25">
      <c r="A518" s="18" t="s">
        <v>132</v>
      </c>
      <c r="B518" s="292">
        <v>701</v>
      </c>
      <c r="C518" s="19" t="s">
        <v>36</v>
      </c>
      <c r="D518" s="19"/>
      <c r="E518" s="19"/>
      <c r="F518" s="19"/>
      <c r="G518" s="20">
        <f>G519+G542</f>
        <v>219769458.55000001</v>
      </c>
      <c r="H518" s="20">
        <f>H519+H542</f>
        <v>194250511.13999999</v>
      </c>
      <c r="I518" s="20">
        <f>I519+I542</f>
        <v>195598580.81</v>
      </c>
      <c r="K518" s="329"/>
      <c r="L518" s="329"/>
      <c r="M518" s="329"/>
      <c r="N518" s="329"/>
    </row>
    <row r="519" spans="1:14" x14ac:dyDescent="0.25">
      <c r="A519" s="18" t="s">
        <v>133</v>
      </c>
      <c r="B519" s="293" t="s">
        <v>218</v>
      </c>
      <c r="C519" s="19" t="s">
        <v>36</v>
      </c>
      <c r="D519" s="19" t="s">
        <v>15</v>
      </c>
      <c r="E519" s="19"/>
      <c r="F519" s="19"/>
      <c r="G519" s="20">
        <f>G520+G536</f>
        <v>176044654.55000001</v>
      </c>
      <c r="H519" s="20">
        <f>H520+H536</f>
        <v>150525707.13999999</v>
      </c>
      <c r="I519" s="20">
        <f>I520+I536</f>
        <v>151873776.81</v>
      </c>
      <c r="K519" s="329"/>
      <c r="L519" s="329"/>
      <c r="M519" s="329"/>
      <c r="N519" s="329"/>
    </row>
    <row r="520" spans="1:14" ht="31.5" x14ac:dyDescent="0.25">
      <c r="A520" s="18" t="s">
        <v>134</v>
      </c>
      <c r="B520" s="292">
        <v>701</v>
      </c>
      <c r="C520" s="19" t="s">
        <v>36</v>
      </c>
      <c r="D520" s="19" t="s">
        <v>15</v>
      </c>
      <c r="E520" s="19" t="s">
        <v>135</v>
      </c>
      <c r="F520" s="19"/>
      <c r="G520" s="20">
        <f>G521+G530</f>
        <v>159109839.68000001</v>
      </c>
      <c r="H520" s="20">
        <f>H521+H530</f>
        <v>150525707.13999999</v>
      </c>
      <c r="I520" s="20">
        <f>I521+I530</f>
        <v>151873776.81</v>
      </c>
      <c r="K520" s="329"/>
      <c r="L520" s="329"/>
      <c r="M520" s="329"/>
      <c r="N520" s="329"/>
    </row>
    <row r="521" spans="1:14" x14ac:dyDescent="0.25">
      <c r="A521" s="22" t="s">
        <v>194</v>
      </c>
      <c r="B521" s="293" t="s">
        <v>218</v>
      </c>
      <c r="C521" s="23" t="s">
        <v>36</v>
      </c>
      <c r="D521" s="23" t="s">
        <v>15</v>
      </c>
      <c r="E521" s="23" t="s">
        <v>136</v>
      </c>
      <c r="F521" s="23"/>
      <c r="G521" s="260">
        <f>G522+G524+G527</f>
        <v>18438900</v>
      </c>
      <c r="H521" s="260">
        <f t="shared" ref="H521:I521" si="178">H522+H524+H527</f>
        <v>17500000</v>
      </c>
      <c r="I521" s="260">
        <f t="shared" si="178"/>
        <v>17500000</v>
      </c>
      <c r="K521" s="329"/>
      <c r="L521" s="329"/>
      <c r="M521" s="329"/>
      <c r="N521" s="329"/>
    </row>
    <row r="522" spans="1:14" ht="30.75" x14ac:dyDescent="0.25">
      <c r="A522" s="22" t="s">
        <v>620</v>
      </c>
      <c r="B522" s="292">
        <v>701</v>
      </c>
      <c r="C522" s="57" t="s">
        <v>36</v>
      </c>
      <c r="D522" s="57" t="s">
        <v>15</v>
      </c>
      <c r="E522" s="23">
        <v>5730010000</v>
      </c>
      <c r="F522" s="23"/>
      <c r="G522" s="260">
        <f>G523</f>
        <v>2418900</v>
      </c>
      <c r="H522" s="260">
        <f t="shared" ref="H522:I522" si="179">H523</f>
        <v>1480000</v>
      </c>
      <c r="I522" s="260">
        <f t="shared" si="179"/>
        <v>1480000</v>
      </c>
      <c r="K522" s="329"/>
      <c r="L522" s="329"/>
      <c r="M522" s="329"/>
      <c r="N522" s="329"/>
    </row>
    <row r="523" spans="1:14" ht="30.75" x14ac:dyDescent="0.25">
      <c r="A523" s="288" t="s">
        <v>26</v>
      </c>
      <c r="B523" s="293" t="s">
        <v>218</v>
      </c>
      <c r="C523" s="57" t="s">
        <v>36</v>
      </c>
      <c r="D523" s="57" t="s">
        <v>15</v>
      </c>
      <c r="E523" s="57">
        <v>5730010000</v>
      </c>
      <c r="F523" s="57" t="s">
        <v>27</v>
      </c>
      <c r="G523" s="260">
        <f>1480000+650000+288900</f>
        <v>2418900</v>
      </c>
      <c r="H523" s="260">
        <v>1480000</v>
      </c>
      <c r="I523" s="260">
        <v>1480000</v>
      </c>
      <c r="J523" s="247"/>
      <c r="K523" s="329"/>
      <c r="L523" s="329"/>
      <c r="M523" s="329"/>
      <c r="N523" s="329"/>
    </row>
    <row r="524" spans="1:14" ht="30.75" x14ac:dyDescent="0.25">
      <c r="A524" s="288" t="s">
        <v>621</v>
      </c>
      <c r="B524" s="292">
        <v>701</v>
      </c>
      <c r="C524" s="57" t="s">
        <v>36</v>
      </c>
      <c r="D524" s="57" t="s">
        <v>15</v>
      </c>
      <c r="E524" s="57">
        <v>5730010073</v>
      </c>
      <c r="F524" s="57"/>
      <c r="G524" s="260">
        <f>SUM(G525:G526)</f>
        <v>15431100</v>
      </c>
      <c r="H524" s="260">
        <f t="shared" ref="H524:I524" si="180">SUM(H525:H526)</f>
        <v>15720000</v>
      </c>
      <c r="I524" s="260">
        <f t="shared" si="180"/>
        <v>15720000</v>
      </c>
      <c r="J524" s="247"/>
      <c r="K524" s="329"/>
      <c r="L524" s="329"/>
      <c r="M524" s="329"/>
      <c r="N524" s="329"/>
    </row>
    <row r="525" spans="1:14" ht="75.75" x14ac:dyDescent="0.25">
      <c r="A525" s="288" t="s">
        <v>22</v>
      </c>
      <c r="B525" s="293" t="s">
        <v>218</v>
      </c>
      <c r="C525" s="57" t="s">
        <v>36</v>
      </c>
      <c r="D525" s="57" t="s">
        <v>15</v>
      </c>
      <c r="E525" s="57" t="s">
        <v>690</v>
      </c>
      <c r="F525" s="57" t="s">
        <v>23</v>
      </c>
      <c r="G525" s="260">
        <f>900000-12100</f>
        <v>887900</v>
      </c>
      <c r="H525" s="260">
        <v>900000</v>
      </c>
      <c r="I525" s="260">
        <v>900000</v>
      </c>
      <c r="J525" s="247"/>
      <c r="K525" s="340"/>
      <c r="L525" s="329"/>
      <c r="M525" s="329"/>
      <c r="N525" s="329"/>
    </row>
    <row r="526" spans="1:14" ht="30.75" x14ac:dyDescent="0.25">
      <c r="A526" s="288" t="s">
        <v>26</v>
      </c>
      <c r="B526" s="292">
        <v>701</v>
      </c>
      <c r="C526" s="57" t="s">
        <v>36</v>
      </c>
      <c r="D526" s="57" t="s">
        <v>15</v>
      </c>
      <c r="E526" s="57">
        <v>5730010073</v>
      </c>
      <c r="F526" s="57" t="s">
        <v>27</v>
      </c>
      <c r="G526" s="260">
        <f>14820000-276800</f>
        <v>14543200</v>
      </c>
      <c r="H526" s="260">
        <v>14820000</v>
      </c>
      <c r="I526" s="260">
        <v>14820000</v>
      </c>
      <c r="J526" s="247"/>
      <c r="K526" s="340"/>
      <c r="L526" s="329"/>
      <c r="M526" s="329"/>
      <c r="N526" s="329"/>
    </row>
    <row r="527" spans="1:14" x14ac:dyDescent="0.25">
      <c r="A527" s="288" t="s">
        <v>622</v>
      </c>
      <c r="B527" s="293" t="s">
        <v>218</v>
      </c>
      <c r="C527" s="57" t="s">
        <v>36</v>
      </c>
      <c r="D527" s="57" t="s">
        <v>15</v>
      </c>
      <c r="E527" s="57">
        <v>5730010080</v>
      </c>
      <c r="F527" s="57"/>
      <c r="G527" s="260">
        <f>SUM(G528:G529)</f>
        <v>588900</v>
      </c>
      <c r="H527" s="260">
        <f t="shared" ref="H527:I527" si="181">SUM(H528:H529)</f>
        <v>300000</v>
      </c>
      <c r="I527" s="260">
        <f t="shared" si="181"/>
        <v>300000</v>
      </c>
      <c r="J527" s="247"/>
      <c r="K527" s="329"/>
      <c r="L527" s="329"/>
      <c r="M527" s="329"/>
      <c r="N527" s="329"/>
    </row>
    <row r="528" spans="1:14" ht="75.75" x14ac:dyDescent="0.25">
      <c r="A528" s="288" t="s">
        <v>22</v>
      </c>
      <c r="B528" s="293">
        <v>701</v>
      </c>
      <c r="C528" s="57" t="s">
        <v>36</v>
      </c>
      <c r="D528" s="57" t="s">
        <v>15</v>
      </c>
      <c r="E528" s="57">
        <v>5730010080</v>
      </c>
      <c r="F528" s="57" t="s">
        <v>23</v>
      </c>
      <c r="G528" s="260">
        <v>12100</v>
      </c>
      <c r="H528" s="260">
        <v>0</v>
      </c>
      <c r="I528" s="260">
        <v>0</v>
      </c>
      <c r="J528" s="247"/>
      <c r="K528" s="329"/>
      <c r="L528" s="329"/>
      <c r="M528" s="329"/>
      <c r="N528" s="329"/>
    </row>
    <row r="529" spans="1:14" ht="30.75" x14ac:dyDescent="0.25">
      <c r="A529" s="288" t="s">
        <v>26</v>
      </c>
      <c r="B529" s="292">
        <v>701</v>
      </c>
      <c r="C529" s="57" t="s">
        <v>36</v>
      </c>
      <c r="D529" s="57" t="s">
        <v>15</v>
      </c>
      <c r="E529" s="57">
        <v>5730010080</v>
      </c>
      <c r="F529" s="57" t="s">
        <v>27</v>
      </c>
      <c r="G529" s="260">
        <f>300000+276800</f>
        <v>576800</v>
      </c>
      <c r="H529" s="260">
        <v>300000</v>
      </c>
      <c r="I529" s="260">
        <v>300000</v>
      </c>
      <c r="J529" s="247"/>
      <c r="K529" s="329"/>
      <c r="L529" s="329"/>
      <c r="M529" s="329"/>
      <c r="N529" s="329"/>
    </row>
    <row r="530" spans="1:14" x14ac:dyDescent="0.25">
      <c r="A530" s="22" t="s">
        <v>50</v>
      </c>
      <c r="B530" s="293" t="s">
        <v>218</v>
      </c>
      <c r="C530" s="57" t="s">
        <v>36</v>
      </c>
      <c r="D530" s="57" t="s">
        <v>15</v>
      </c>
      <c r="E530" s="23" t="s">
        <v>137</v>
      </c>
      <c r="F530" s="23"/>
      <c r="G530" s="260">
        <f>SUM(G532:G535)</f>
        <v>140670939.68000001</v>
      </c>
      <c r="H530" s="260">
        <f>SUM(H532:H535)</f>
        <v>133025707.14</v>
      </c>
      <c r="I530" s="260">
        <f>SUM(I532:I535)</f>
        <v>134373776.81</v>
      </c>
      <c r="K530" s="329"/>
      <c r="L530" s="329"/>
      <c r="M530" s="329"/>
      <c r="N530" s="329"/>
    </row>
    <row r="531" spans="1:14" ht="30.75" x14ac:dyDescent="0.25">
      <c r="A531" s="22" t="s">
        <v>165</v>
      </c>
      <c r="B531" s="292">
        <v>701</v>
      </c>
      <c r="C531" s="57" t="s">
        <v>36</v>
      </c>
      <c r="D531" s="57" t="s">
        <v>15</v>
      </c>
      <c r="E531" s="23">
        <v>5740022001</v>
      </c>
      <c r="F531" s="23"/>
      <c r="G531" s="260">
        <f>SUM(G532:G535)</f>
        <v>140670939.68000001</v>
      </c>
      <c r="H531" s="260">
        <f t="shared" ref="H531:I531" si="182">SUM(H532:H535)</f>
        <v>133025707.14</v>
      </c>
      <c r="I531" s="260">
        <f t="shared" si="182"/>
        <v>134373776.81</v>
      </c>
      <c r="K531" s="329"/>
      <c r="L531" s="329"/>
      <c r="M531" s="329"/>
      <c r="N531" s="329"/>
    </row>
    <row r="532" spans="1:14" ht="75.75" x14ac:dyDescent="0.25">
      <c r="A532" s="22" t="s">
        <v>22</v>
      </c>
      <c r="B532" s="293" t="s">
        <v>218</v>
      </c>
      <c r="C532" s="57" t="s">
        <v>36</v>
      </c>
      <c r="D532" s="57" t="s">
        <v>15</v>
      </c>
      <c r="E532" s="23">
        <v>5740022001</v>
      </c>
      <c r="F532" s="23" t="s">
        <v>23</v>
      </c>
      <c r="G532" s="261">
        <f>95261926-419162.9</f>
        <v>94842763.099999994</v>
      </c>
      <c r="H532" s="261">
        <v>95078341</v>
      </c>
      <c r="I532" s="261">
        <v>95078341</v>
      </c>
      <c r="J532" s="247"/>
      <c r="K532" s="313"/>
      <c r="L532" s="329"/>
      <c r="M532" s="329"/>
      <c r="N532" s="329"/>
    </row>
    <row r="533" spans="1:14" ht="30.75" x14ac:dyDescent="0.25">
      <c r="A533" s="22" t="s">
        <v>26</v>
      </c>
      <c r="B533" s="292">
        <v>701</v>
      </c>
      <c r="C533" s="57" t="s">
        <v>36</v>
      </c>
      <c r="D533" s="57" t="s">
        <v>15</v>
      </c>
      <c r="E533" s="23">
        <v>5740022001</v>
      </c>
      <c r="F533" s="23" t="s">
        <v>27</v>
      </c>
      <c r="G533" s="261">
        <f>41087915.82+1456929.86</f>
        <v>42544845.68</v>
      </c>
      <c r="H533" s="261">
        <v>35083198.140000001</v>
      </c>
      <c r="I533" s="261">
        <v>36431267.809999995</v>
      </c>
      <c r="J533" s="247"/>
      <c r="K533" s="329"/>
      <c r="L533" s="329"/>
      <c r="M533" s="329"/>
      <c r="N533" s="329"/>
    </row>
    <row r="534" spans="1:14" x14ac:dyDescent="0.25">
      <c r="A534" s="22" t="s">
        <v>52</v>
      </c>
      <c r="B534" s="293" t="s">
        <v>218</v>
      </c>
      <c r="C534" s="57" t="s">
        <v>36</v>
      </c>
      <c r="D534" s="57" t="s">
        <v>15</v>
      </c>
      <c r="E534" s="23">
        <v>5740022001</v>
      </c>
      <c r="F534" s="23" t="s">
        <v>53</v>
      </c>
      <c r="G534" s="261">
        <v>419162.9</v>
      </c>
      <c r="H534" s="261">
        <v>0</v>
      </c>
      <c r="I534" s="261">
        <v>0</v>
      </c>
      <c r="K534" s="313"/>
      <c r="L534" s="329"/>
      <c r="M534" s="329"/>
      <c r="N534" s="329"/>
    </row>
    <row r="535" spans="1:14" x14ac:dyDescent="0.25">
      <c r="A535" s="22" t="s">
        <v>28</v>
      </c>
      <c r="B535" s="292">
        <v>701</v>
      </c>
      <c r="C535" s="57" t="s">
        <v>36</v>
      </c>
      <c r="D535" s="57" t="s">
        <v>15</v>
      </c>
      <c r="E535" s="23">
        <v>5740022001</v>
      </c>
      <c r="F535" s="23" t="s">
        <v>29</v>
      </c>
      <c r="G535" s="261">
        <v>2864168</v>
      </c>
      <c r="H535" s="261">
        <v>2864168</v>
      </c>
      <c r="I535" s="261">
        <v>2864168</v>
      </c>
      <c r="K535" s="329"/>
      <c r="L535" s="329"/>
      <c r="M535" s="329"/>
      <c r="N535" s="329"/>
    </row>
    <row r="536" spans="1:14" s="27" customFormat="1" x14ac:dyDescent="0.25">
      <c r="A536" s="286" t="s">
        <v>18</v>
      </c>
      <c r="B536" s="292">
        <v>701</v>
      </c>
      <c r="C536" s="57" t="s">
        <v>36</v>
      </c>
      <c r="D536" s="57" t="s">
        <v>15</v>
      </c>
      <c r="E536" s="61" t="s">
        <v>19</v>
      </c>
      <c r="F536" s="61"/>
      <c r="G536" s="63">
        <f>G537</f>
        <v>16934814.869999997</v>
      </c>
      <c r="H536" s="63">
        <f t="shared" ref="H536:I537" si="183">H537</f>
        <v>0</v>
      </c>
      <c r="I536" s="63">
        <f t="shared" si="183"/>
        <v>0</v>
      </c>
      <c r="J536" s="94"/>
      <c r="K536" s="339"/>
      <c r="L536" s="339"/>
      <c r="M536" s="339"/>
      <c r="N536" s="339"/>
    </row>
    <row r="537" spans="1:14" x14ac:dyDescent="0.25">
      <c r="A537" s="22" t="s">
        <v>56</v>
      </c>
      <c r="B537" s="293" t="s">
        <v>218</v>
      </c>
      <c r="C537" s="57" t="s">
        <v>36</v>
      </c>
      <c r="D537" s="57" t="s">
        <v>15</v>
      </c>
      <c r="E537" s="23" t="s">
        <v>38</v>
      </c>
      <c r="F537" s="23"/>
      <c r="G537" s="24">
        <f>G538</f>
        <v>16934814.869999997</v>
      </c>
      <c r="H537" s="24">
        <f t="shared" si="183"/>
        <v>0</v>
      </c>
      <c r="I537" s="24">
        <f t="shared" si="183"/>
        <v>0</v>
      </c>
      <c r="K537" s="329"/>
      <c r="L537" s="329"/>
      <c r="M537" s="329"/>
      <c r="N537" s="329"/>
    </row>
    <row r="538" spans="1:14" x14ac:dyDescent="0.25">
      <c r="A538" s="22" t="s">
        <v>189</v>
      </c>
      <c r="B538" s="292">
        <v>701</v>
      </c>
      <c r="C538" s="57" t="s">
        <v>36</v>
      </c>
      <c r="D538" s="57" t="s">
        <v>15</v>
      </c>
      <c r="E538" s="23" t="s">
        <v>190</v>
      </c>
      <c r="F538" s="23"/>
      <c r="G538" s="24">
        <f>SUM(G539:G541)</f>
        <v>16934814.869999997</v>
      </c>
      <c r="H538" s="24">
        <f t="shared" ref="H538:I538" si="184">SUM(H539:H541)</f>
        <v>0</v>
      </c>
      <c r="I538" s="24">
        <f t="shared" si="184"/>
        <v>0</v>
      </c>
      <c r="K538" s="329"/>
      <c r="L538" s="329"/>
      <c r="M538" s="329"/>
      <c r="N538" s="329"/>
    </row>
    <row r="539" spans="1:14" ht="30.75" x14ac:dyDescent="0.25">
      <c r="A539" s="22" t="s">
        <v>26</v>
      </c>
      <c r="B539" s="293" t="s">
        <v>218</v>
      </c>
      <c r="C539" s="57" t="s">
        <v>36</v>
      </c>
      <c r="D539" s="57" t="s">
        <v>15</v>
      </c>
      <c r="E539" s="23" t="s">
        <v>190</v>
      </c>
      <c r="F539" s="23" t="s">
        <v>27</v>
      </c>
      <c r="G539" s="24">
        <f>'Приложение 2'!F228</f>
        <v>16550168.049999999</v>
      </c>
      <c r="H539" s="24">
        <f>'Приложение 2'!G228</f>
        <v>0</v>
      </c>
      <c r="I539" s="24">
        <f>'Приложение 2'!H228</f>
        <v>0</v>
      </c>
      <c r="K539" s="329"/>
      <c r="L539" s="329"/>
      <c r="M539" s="329"/>
      <c r="N539" s="329"/>
    </row>
    <row r="540" spans="1:14" hidden="1" x14ac:dyDescent="0.25">
      <c r="A540" s="288" t="s">
        <v>52</v>
      </c>
      <c r="B540" s="292">
        <v>701</v>
      </c>
      <c r="C540" s="57" t="s">
        <v>36</v>
      </c>
      <c r="D540" s="57" t="s">
        <v>15</v>
      </c>
      <c r="E540" s="23" t="s">
        <v>190</v>
      </c>
      <c r="F540" s="57" t="s">
        <v>53</v>
      </c>
      <c r="G540" s="58"/>
      <c r="H540" s="58"/>
      <c r="I540" s="28"/>
      <c r="K540" s="329"/>
      <c r="L540" s="329"/>
      <c r="M540" s="329"/>
      <c r="N540" s="329"/>
    </row>
    <row r="541" spans="1:14" ht="30.75" x14ac:dyDescent="0.25">
      <c r="A541" s="288" t="s">
        <v>124</v>
      </c>
      <c r="B541" s="293" t="s">
        <v>218</v>
      </c>
      <c r="C541" s="57" t="s">
        <v>36</v>
      </c>
      <c r="D541" s="57" t="s">
        <v>15</v>
      </c>
      <c r="E541" s="23" t="s">
        <v>190</v>
      </c>
      <c r="F541" s="57" t="s">
        <v>49</v>
      </c>
      <c r="G541" s="58">
        <f>'Приложение 2'!F230</f>
        <v>384646.82</v>
      </c>
      <c r="H541" s="58">
        <f>'Приложение 2'!G230</f>
        <v>0</v>
      </c>
      <c r="I541" s="58">
        <f>'Приложение 2'!H230</f>
        <v>0</v>
      </c>
      <c r="K541" s="329"/>
      <c r="L541" s="329"/>
      <c r="M541" s="329"/>
      <c r="N541" s="329"/>
    </row>
    <row r="542" spans="1:14" x14ac:dyDescent="0.25">
      <c r="A542" s="18" t="s">
        <v>152</v>
      </c>
      <c r="B542" s="292">
        <v>701</v>
      </c>
      <c r="C542" s="19" t="s">
        <v>36</v>
      </c>
      <c r="D542" s="19" t="s">
        <v>25</v>
      </c>
      <c r="E542" s="19"/>
      <c r="F542" s="19"/>
      <c r="G542" s="259">
        <f t="shared" ref="G542:I545" si="185">G543</f>
        <v>43724804</v>
      </c>
      <c r="H542" s="259">
        <f t="shared" si="185"/>
        <v>43724804</v>
      </c>
      <c r="I542" s="259">
        <f t="shared" si="185"/>
        <v>43724804</v>
      </c>
      <c r="K542" s="329"/>
      <c r="L542" s="329"/>
      <c r="M542" s="329"/>
      <c r="N542" s="329"/>
    </row>
    <row r="543" spans="1:14" s="27" customFormat="1" ht="31.5" x14ac:dyDescent="0.25">
      <c r="A543" s="18" t="s">
        <v>134</v>
      </c>
      <c r="B543" s="293" t="s">
        <v>218</v>
      </c>
      <c r="C543" s="19" t="s">
        <v>36</v>
      </c>
      <c r="D543" s="19" t="s">
        <v>25</v>
      </c>
      <c r="E543" s="19" t="s">
        <v>135</v>
      </c>
      <c r="F543" s="19"/>
      <c r="G543" s="259">
        <f t="shared" si="185"/>
        <v>43724804</v>
      </c>
      <c r="H543" s="259">
        <f t="shared" si="185"/>
        <v>43724804</v>
      </c>
      <c r="I543" s="259">
        <f t="shared" si="185"/>
        <v>43724804</v>
      </c>
      <c r="J543" s="94"/>
      <c r="K543" s="339"/>
      <c r="L543" s="339"/>
      <c r="M543" s="339"/>
      <c r="N543" s="339"/>
    </row>
    <row r="544" spans="1:14" x14ac:dyDescent="0.25">
      <c r="A544" s="22" t="s">
        <v>50</v>
      </c>
      <c r="B544" s="292">
        <v>701</v>
      </c>
      <c r="C544" s="23" t="s">
        <v>36</v>
      </c>
      <c r="D544" s="23" t="s">
        <v>25</v>
      </c>
      <c r="E544" s="23" t="s">
        <v>137</v>
      </c>
      <c r="F544" s="23"/>
      <c r="G544" s="260">
        <f>G545</f>
        <v>43724804</v>
      </c>
      <c r="H544" s="260">
        <f t="shared" si="185"/>
        <v>43724804</v>
      </c>
      <c r="I544" s="260">
        <f t="shared" si="185"/>
        <v>43724804</v>
      </c>
      <c r="K544" s="329"/>
      <c r="L544" s="329"/>
      <c r="M544" s="329"/>
      <c r="N544" s="329"/>
    </row>
    <row r="545" spans="1:14" ht="30.75" x14ac:dyDescent="0.25">
      <c r="A545" s="22" t="s">
        <v>165</v>
      </c>
      <c r="B545" s="293" t="s">
        <v>218</v>
      </c>
      <c r="C545" s="23" t="s">
        <v>36</v>
      </c>
      <c r="D545" s="23" t="s">
        <v>25</v>
      </c>
      <c r="E545" s="23">
        <v>5740022001</v>
      </c>
      <c r="F545" s="23"/>
      <c r="G545" s="260">
        <f>G546</f>
        <v>43724804</v>
      </c>
      <c r="H545" s="260">
        <f t="shared" si="185"/>
        <v>43724804</v>
      </c>
      <c r="I545" s="260">
        <f t="shared" si="185"/>
        <v>43724804</v>
      </c>
      <c r="K545" s="329"/>
      <c r="L545" s="329"/>
      <c r="M545" s="329"/>
      <c r="N545" s="329"/>
    </row>
    <row r="546" spans="1:14" ht="75.75" x14ac:dyDescent="0.25">
      <c r="A546" s="22" t="s">
        <v>22</v>
      </c>
      <c r="B546" s="292">
        <v>701</v>
      </c>
      <c r="C546" s="23" t="s">
        <v>36</v>
      </c>
      <c r="D546" s="23" t="s">
        <v>25</v>
      </c>
      <c r="E546" s="23">
        <v>5740022001</v>
      </c>
      <c r="F546" s="23" t="s">
        <v>23</v>
      </c>
      <c r="G546" s="260">
        <v>43724804</v>
      </c>
      <c r="H546" s="260">
        <v>43724804</v>
      </c>
      <c r="I546" s="260">
        <v>43724804</v>
      </c>
      <c r="J546" s="247"/>
      <c r="K546" s="329"/>
      <c r="L546" s="329"/>
      <c r="M546" s="329"/>
      <c r="N546" s="329"/>
    </row>
    <row r="547" spans="1:14" ht="63" x14ac:dyDescent="0.25">
      <c r="A547" s="64" t="s">
        <v>138</v>
      </c>
      <c r="B547" s="293" t="s">
        <v>218</v>
      </c>
      <c r="C547" s="65" t="s">
        <v>139</v>
      </c>
      <c r="D547" s="65"/>
      <c r="E547" s="65"/>
      <c r="F547" s="66"/>
      <c r="G547" s="67">
        <f t="shared" ref="G547:I549" si="186">G548</f>
        <v>882412694.23000002</v>
      </c>
      <c r="H547" s="67">
        <f t="shared" si="186"/>
        <v>128460096.52000001</v>
      </c>
      <c r="I547" s="50">
        <f t="shared" si="186"/>
        <v>0</v>
      </c>
      <c r="K547" s="329"/>
      <c r="L547" s="329"/>
      <c r="M547" s="329"/>
      <c r="N547" s="329"/>
    </row>
    <row r="548" spans="1:14" ht="31.5" x14ac:dyDescent="0.25">
      <c r="A548" s="51" t="s">
        <v>140</v>
      </c>
      <c r="B548" s="292">
        <v>701</v>
      </c>
      <c r="C548" s="48" t="s">
        <v>139</v>
      </c>
      <c r="D548" s="48" t="s">
        <v>25</v>
      </c>
      <c r="E548" s="48"/>
      <c r="F548" s="49"/>
      <c r="G548" s="50">
        <f t="shared" si="186"/>
        <v>882412694.23000002</v>
      </c>
      <c r="H548" s="50">
        <f t="shared" si="186"/>
        <v>128460096.52000001</v>
      </c>
      <c r="I548" s="50">
        <f t="shared" si="186"/>
        <v>0</v>
      </c>
      <c r="K548" s="329"/>
      <c r="L548" s="329"/>
      <c r="M548" s="329"/>
      <c r="N548" s="329"/>
    </row>
    <row r="549" spans="1:14" x14ac:dyDescent="0.25">
      <c r="A549" s="18" t="s">
        <v>18</v>
      </c>
      <c r="B549" s="293" t="s">
        <v>218</v>
      </c>
      <c r="C549" s="48" t="s">
        <v>139</v>
      </c>
      <c r="D549" s="48" t="s">
        <v>25</v>
      </c>
      <c r="E549" s="48" t="s">
        <v>19</v>
      </c>
      <c r="F549" s="49"/>
      <c r="G549" s="50">
        <f>G550</f>
        <v>882412694.23000002</v>
      </c>
      <c r="H549" s="50">
        <f t="shared" si="186"/>
        <v>128460096.52000001</v>
      </c>
      <c r="I549" s="50">
        <f t="shared" si="186"/>
        <v>0</v>
      </c>
      <c r="K549" s="329"/>
      <c r="L549" s="329"/>
      <c r="M549" s="329"/>
      <c r="N549" s="329"/>
    </row>
    <row r="550" spans="1:14" x14ac:dyDescent="0.25">
      <c r="A550" s="22" t="s">
        <v>84</v>
      </c>
      <c r="B550" s="292">
        <v>701</v>
      </c>
      <c r="C550" s="48" t="s">
        <v>139</v>
      </c>
      <c r="D550" s="48" t="s">
        <v>25</v>
      </c>
      <c r="E550" s="48" t="s">
        <v>141</v>
      </c>
      <c r="F550" s="49"/>
      <c r="G550" s="50">
        <f>G551+G553</f>
        <v>882412694.23000002</v>
      </c>
      <c r="H550" s="50">
        <f>H551+H553</f>
        <v>128460096.52000001</v>
      </c>
      <c r="I550" s="50">
        <f>I551+I553</f>
        <v>0</v>
      </c>
      <c r="K550" s="329"/>
      <c r="L550" s="329"/>
      <c r="M550" s="329"/>
      <c r="N550" s="329"/>
    </row>
    <row r="551" spans="1:14" ht="30.75" x14ac:dyDescent="0.25">
      <c r="A551" s="22" t="s">
        <v>191</v>
      </c>
      <c r="B551" s="293" t="s">
        <v>218</v>
      </c>
      <c r="C551" s="52" t="s">
        <v>139</v>
      </c>
      <c r="D551" s="52" t="s">
        <v>25</v>
      </c>
      <c r="E551" s="52" t="s">
        <v>192</v>
      </c>
      <c r="F551" s="53"/>
      <c r="G551" s="54">
        <f>G552</f>
        <v>436642000</v>
      </c>
      <c r="H551" s="54">
        <f>H552</f>
        <v>0</v>
      </c>
      <c r="I551" s="54">
        <f>I552</f>
        <v>0</v>
      </c>
      <c r="K551" s="329"/>
      <c r="L551" s="329"/>
      <c r="M551" s="329"/>
      <c r="N551" s="329"/>
    </row>
    <row r="552" spans="1:14" x14ac:dyDescent="0.25">
      <c r="A552" s="22" t="s">
        <v>84</v>
      </c>
      <c r="B552" s="292">
        <v>701</v>
      </c>
      <c r="C552" s="52" t="s">
        <v>139</v>
      </c>
      <c r="D552" s="52" t="s">
        <v>25</v>
      </c>
      <c r="E552" s="52" t="s">
        <v>192</v>
      </c>
      <c r="F552" s="53" t="s">
        <v>142</v>
      </c>
      <c r="G552" s="54">
        <f>'Приложение 2'!F238</f>
        <v>436642000</v>
      </c>
      <c r="H552" s="54">
        <f>'Приложение 2'!G238</f>
        <v>0</v>
      </c>
      <c r="I552" s="54">
        <f>'Приложение 2'!H238</f>
        <v>0</v>
      </c>
      <c r="K552" s="329"/>
      <c r="L552" s="329"/>
      <c r="M552" s="329"/>
      <c r="N552" s="329"/>
    </row>
    <row r="553" spans="1:14" ht="30.75" x14ac:dyDescent="0.25">
      <c r="A553" s="22" t="s">
        <v>193</v>
      </c>
      <c r="B553" s="292">
        <v>701</v>
      </c>
      <c r="C553" s="52" t="s">
        <v>139</v>
      </c>
      <c r="D553" s="52" t="s">
        <v>25</v>
      </c>
      <c r="E553" s="52">
        <v>9960088520</v>
      </c>
      <c r="F553" s="53"/>
      <c r="G553" s="54">
        <f>G554</f>
        <v>445770694.22999996</v>
      </c>
      <c r="H553" s="54">
        <f>H554</f>
        <v>128460096.52000001</v>
      </c>
      <c r="I553" s="54">
        <f>I554</f>
        <v>0</v>
      </c>
      <c r="K553" s="329"/>
      <c r="L553" s="329"/>
      <c r="M553" s="329"/>
      <c r="N553" s="329"/>
    </row>
    <row r="554" spans="1:14" x14ac:dyDescent="0.25">
      <c r="A554" s="319" t="s">
        <v>84</v>
      </c>
      <c r="B554" s="294" t="s">
        <v>218</v>
      </c>
      <c r="C554" s="320" t="s">
        <v>139</v>
      </c>
      <c r="D554" s="52" t="s">
        <v>25</v>
      </c>
      <c r="E554" s="52">
        <v>9960088520</v>
      </c>
      <c r="F554" s="53" t="s">
        <v>142</v>
      </c>
      <c r="G554" s="54">
        <f>'Приложение 2'!F240</f>
        <v>445770694.22999996</v>
      </c>
      <c r="H554" s="54">
        <f>'Приложение 2'!G240</f>
        <v>128460096.52000001</v>
      </c>
      <c r="I554" s="54">
        <f>'Приложение 2'!H240</f>
        <v>0</v>
      </c>
      <c r="K554" s="329"/>
      <c r="L554" s="329"/>
      <c r="M554" s="329"/>
      <c r="N554" s="329"/>
    </row>
    <row r="555" spans="1:14" x14ac:dyDescent="0.25">
      <c r="A555" s="251"/>
      <c r="B555" s="295"/>
      <c r="C555" s="296"/>
      <c r="K555" s="329"/>
      <c r="L555" s="329"/>
      <c r="M555" s="329"/>
      <c r="N555" s="329"/>
    </row>
    <row r="556" spans="1:14" x14ac:dyDescent="0.25">
      <c r="A556" s="251"/>
      <c r="B556" s="297"/>
      <c r="C556" s="296"/>
    </row>
    <row r="557" spans="1:14" x14ac:dyDescent="0.25">
      <c r="A557" s="251"/>
      <c r="B557" s="295"/>
      <c r="C557" s="296"/>
    </row>
    <row r="558" spans="1:14" x14ac:dyDescent="0.25">
      <c r="A558" s="251"/>
      <c r="B558" s="297"/>
      <c r="C558" s="296"/>
    </row>
    <row r="559" spans="1:14" x14ac:dyDescent="0.25">
      <c r="A559" s="251"/>
      <c r="B559" s="295"/>
      <c r="C559" s="296"/>
    </row>
    <row r="560" spans="1:14" x14ac:dyDescent="0.25">
      <c r="A560" s="251"/>
      <c r="B560" s="297"/>
      <c r="C560" s="296"/>
    </row>
    <row r="561" spans="1:3" x14ac:dyDescent="0.25">
      <c r="A561" s="251"/>
      <c r="B561" s="295"/>
      <c r="C561" s="296"/>
    </row>
    <row r="562" spans="1:3" x14ac:dyDescent="0.25">
      <c r="A562" s="251"/>
      <c r="B562" s="297"/>
      <c r="C562" s="296"/>
    </row>
    <row r="563" spans="1:3" x14ac:dyDescent="0.25">
      <c r="A563" s="251"/>
      <c r="B563" s="298"/>
      <c r="C563" s="296"/>
    </row>
    <row r="564" spans="1:3" x14ac:dyDescent="0.25">
      <c r="A564" s="251"/>
      <c r="B564" s="298"/>
      <c r="C564" s="296"/>
    </row>
  </sheetData>
  <mergeCells count="1">
    <mergeCell ref="A11:I11"/>
  </mergeCells>
  <pageMargins left="0.70866141732283472" right="0.70866141732283472" top="0.74803149606299213" bottom="0.74803149606299213" header="0.31496062992125984" footer="0.31496062992125984"/>
  <pageSetup paperSize="9" scale="33" fitToHeight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4"/>
  <sheetViews>
    <sheetView workbookViewId="0">
      <selection activeCell="F15" sqref="F15"/>
    </sheetView>
  </sheetViews>
  <sheetFormatPr defaultRowHeight="15" x14ac:dyDescent="0.25"/>
  <cols>
    <col min="1" max="1" width="10.42578125" style="107" customWidth="1"/>
    <col min="2" max="2" width="67" style="107" customWidth="1"/>
    <col min="3" max="3" width="20.140625" style="110" customWidth="1"/>
    <col min="4" max="4" width="17.5703125" style="110" customWidth="1"/>
    <col min="5" max="5" width="17.28515625" style="110" bestFit="1" customWidth="1"/>
    <col min="6" max="6" width="16.7109375" customWidth="1"/>
    <col min="7" max="7" width="13.5703125" style="111" customWidth="1"/>
    <col min="8" max="8" width="11.140625" customWidth="1"/>
    <col min="9" max="9" width="13" customWidth="1"/>
    <col min="10" max="11" width="13.140625" customWidth="1"/>
  </cols>
  <sheetData>
    <row r="2" spans="1:5" ht="18.75" x14ac:dyDescent="0.3">
      <c r="B2" s="108"/>
      <c r="C2" s="109" t="s">
        <v>216</v>
      </c>
    </row>
    <row r="3" spans="1:5" ht="18.75" x14ac:dyDescent="0.3">
      <c r="B3" s="108"/>
      <c r="C3" s="109" t="s">
        <v>1</v>
      </c>
    </row>
    <row r="4" spans="1:5" ht="18.75" x14ac:dyDescent="0.3">
      <c r="B4" s="108"/>
      <c r="C4" s="109" t="s">
        <v>2</v>
      </c>
    </row>
    <row r="5" spans="1:5" ht="18.75" x14ac:dyDescent="0.3">
      <c r="B5" s="108"/>
      <c r="C5" s="109" t="s">
        <v>3</v>
      </c>
    </row>
    <row r="6" spans="1:5" ht="18.75" x14ac:dyDescent="0.3">
      <c r="B6" s="108"/>
      <c r="C6" s="109" t="s">
        <v>4</v>
      </c>
    </row>
    <row r="7" spans="1:5" ht="18.75" x14ac:dyDescent="0.3">
      <c r="B7" s="108"/>
      <c r="C7" s="109" t="s">
        <v>694</v>
      </c>
    </row>
    <row r="8" spans="1:5" ht="18.75" x14ac:dyDescent="0.3">
      <c r="C8" s="109" t="s">
        <v>693</v>
      </c>
    </row>
    <row r="10" spans="1:5" ht="46.5" customHeight="1" x14ac:dyDescent="0.25">
      <c r="A10" s="352" t="s">
        <v>269</v>
      </c>
      <c r="B10" s="352"/>
      <c r="C10" s="352"/>
      <c r="D10" s="352"/>
      <c r="E10" s="352"/>
    </row>
    <row r="11" spans="1:5" x14ac:dyDescent="0.25">
      <c r="E11" s="112" t="s">
        <v>223</v>
      </c>
    </row>
    <row r="12" spans="1:5" ht="30" x14ac:dyDescent="0.25">
      <c r="A12" s="113" t="s">
        <v>224</v>
      </c>
      <c r="B12" s="113" t="s">
        <v>225</v>
      </c>
      <c r="C12" s="114" t="s">
        <v>11</v>
      </c>
      <c r="D12" s="114" t="s">
        <v>12</v>
      </c>
      <c r="E12" s="114" t="s">
        <v>143</v>
      </c>
    </row>
    <row r="13" spans="1:5" ht="31.5" x14ac:dyDescent="0.25">
      <c r="A13" s="115">
        <v>1</v>
      </c>
      <c r="B13" s="116" t="s">
        <v>226</v>
      </c>
      <c r="C13" s="117">
        <f>SUM(C14:C24)</f>
        <v>312250870</v>
      </c>
      <c r="D13" s="117">
        <v>185751300</v>
      </c>
      <c r="E13" s="117">
        <v>201199400</v>
      </c>
    </row>
    <row r="14" spans="1:5" ht="15.75" x14ac:dyDescent="0.25">
      <c r="A14" s="118" t="s">
        <v>227</v>
      </c>
      <c r="B14" s="119" t="s">
        <v>228</v>
      </c>
      <c r="C14" s="120">
        <v>50152600</v>
      </c>
      <c r="D14" s="121"/>
      <c r="E14" s="121"/>
    </row>
    <row r="15" spans="1:5" ht="15.75" x14ac:dyDescent="0.25">
      <c r="A15" s="118" t="s">
        <v>229</v>
      </c>
      <c r="B15" s="119" t="s">
        <v>230</v>
      </c>
      <c r="C15" s="120">
        <v>26802860</v>
      </c>
      <c r="D15" s="121"/>
      <c r="E15" s="121"/>
    </row>
    <row r="16" spans="1:5" ht="15.75" x14ac:dyDescent="0.25">
      <c r="A16" s="118" t="s">
        <v>231</v>
      </c>
      <c r="B16" s="119" t="s">
        <v>232</v>
      </c>
      <c r="C16" s="120">
        <v>37954360</v>
      </c>
      <c r="D16" s="121"/>
      <c r="E16" s="121"/>
    </row>
    <row r="17" spans="1:8" ht="15.75" x14ac:dyDescent="0.25">
      <c r="A17" s="118" t="s">
        <v>233</v>
      </c>
      <c r="B17" s="119" t="s">
        <v>234</v>
      </c>
      <c r="C17" s="120">
        <v>24107970</v>
      </c>
      <c r="D17" s="121"/>
      <c r="E17" s="121"/>
    </row>
    <row r="18" spans="1:8" ht="15.75" x14ac:dyDescent="0.25">
      <c r="A18" s="118" t="s">
        <v>235</v>
      </c>
      <c r="B18" s="119" t="s">
        <v>236</v>
      </c>
      <c r="C18" s="120">
        <v>25139360</v>
      </c>
      <c r="D18" s="121"/>
      <c r="E18" s="121"/>
    </row>
    <row r="19" spans="1:8" ht="15.75" x14ac:dyDescent="0.25">
      <c r="A19" s="118" t="s">
        <v>237</v>
      </c>
      <c r="B19" s="119" t="s">
        <v>238</v>
      </c>
      <c r="C19" s="120">
        <v>20329460</v>
      </c>
      <c r="D19" s="121"/>
      <c r="E19" s="121"/>
    </row>
    <row r="20" spans="1:8" ht="15.75" x14ac:dyDescent="0.25">
      <c r="A20" s="118" t="s">
        <v>239</v>
      </c>
      <c r="B20" s="119" t="s">
        <v>240</v>
      </c>
      <c r="C20" s="120">
        <v>37541030</v>
      </c>
      <c r="D20" s="121"/>
      <c r="E20" s="121"/>
    </row>
    <row r="21" spans="1:8" ht="15.75" x14ac:dyDescent="0.25">
      <c r="A21" s="118" t="s">
        <v>241</v>
      </c>
      <c r="B21" s="119" t="s">
        <v>242</v>
      </c>
      <c r="C21" s="120">
        <v>27964340</v>
      </c>
      <c r="D21" s="121"/>
      <c r="E21" s="121"/>
    </row>
    <row r="22" spans="1:8" ht="15.75" x14ac:dyDescent="0.25">
      <c r="A22" s="118" t="s">
        <v>243</v>
      </c>
      <c r="B22" s="119" t="s">
        <v>244</v>
      </c>
      <c r="C22" s="120">
        <v>26418850</v>
      </c>
      <c r="D22" s="121"/>
      <c r="E22" s="121"/>
    </row>
    <row r="23" spans="1:8" ht="15.75" x14ac:dyDescent="0.25">
      <c r="A23" s="118" t="s">
        <v>245</v>
      </c>
      <c r="B23" s="119" t="s">
        <v>246</v>
      </c>
      <c r="C23" s="120">
        <v>19282600</v>
      </c>
      <c r="D23" s="121"/>
      <c r="E23" s="121"/>
    </row>
    <row r="24" spans="1:8" ht="15.75" x14ac:dyDescent="0.25">
      <c r="A24" s="118" t="s">
        <v>247</v>
      </c>
      <c r="B24" s="119" t="s">
        <v>248</v>
      </c>
      <c r="C24" s="120">
        <v>16557440</v>
      </c>
      <c r="D24" s="121"/>
      <c r="E24" s="121"/>
    </row>
    <row r="25" spans="1:8" ht="78.75" x14ac:dyDescent="0.25">
      <c r="A25" s="122" t="s">
        <v>249</v>
      </c>
      <c r="B25" s="116" t="s">
        <v>250</v>
      </c>
      <c r="C25" s="123">
        <f>SUM(C26:C26)</f>
        <v>0</v>
      </c>
      <c r="D25" s="123">
        <f>SUM(D26:D26)</f>
        <v>0</v>
      </c>
      <c r="E25" s="123">
        <f>SUM(E26:E26)</f>
        <v>0</v>
      </c>
    </row>
    <row r="26" spans="1:8" ht="15.75" hidden="1" x14ac:dyDescent="0.25">
      <c r="A26" s="118" t="s">
        <v>251</v>
      </c>
      <c r="B26" s="119" t="s">
        <v>228</v>
      </c>
      <c r="C26" s="120"/>
      <c r="D26" s="120"/>
      <c r="E26" s="120"/>
    </row>
    <row r="27" spans="1:8" ht="47.25" x14ac:dyDescent="0.25">
      <c r="A27" s="115" t="s">
        <v>252</v>
      </c>
      <c r="B27" s="116" t="s">
        <v>253</v>
      </c>
      <c r="C27" s="124">
        <f>C28+C30</f>
        <v>894904959.57999992</v>
      </c>
      <c r="D27" s="124">
        <f>D28+D30</f>
        <v>128460096.52000001</v>
      </c>
      <c r="E27" s="124">
        <f>E28+E30</f>
        <v>0</v>
      </c>
    </row>
    <row r="28" spans="1:8" s="126" customFormat="1" ht="30.75" x14ac:dyDescent="0.25">
      <c r="A28" s="125" t="s">
        <v>254</v>
      </c>
      <c r="B28" s="119" t="s">
        <v>191</v>
      </c>
      <c r="C28" s="121">
        <f>C29</f>
        <v>436642000</v>
      </c>
      <c r="D28" s="121">
        <f>D29</f>
        <v>0</v>
      </c>
      <c r="E28" s="121">
        <f>E29</f>
        <v>0</v>
      </c>
      <c r="G28" s="127"/>
    </row>
    <row r="29" spans="1:8" ht="15.75" x14ac:dyDescent="0.25">
      <c r="A29" s="118" t="s">
        <v>255</v>
      </c>
      <c r="B29" s="119" t="s">
        <v>256</v>
      </c>
      <c r="C29" s="121">
        <v>436642000</v>
      </c>
      <c r="D29" s="121">
        <f>'[2]Приложение 4'!G217</f>
        <v>0</v>
      </c>
      <c r="E29" s="121">
        <f>'[2]Приложение 4'!H217</f>
        <v>0</v>
      </c>
    </row>
    <row r="30" spans="1:8" ht="30.75" x14ac:dyDescent="0.25">
      <c r="A30" s="125" t="s">
        <v>257</v>
      </c>
      <c r="B30" s="119" t="s">
        <v>193</v>
      </c>
      <c r="C30" s="121">
        <f>SUM(C32:C42)</f>
        <v>458262959.57999998</v>
      </c>
      <c r="D30" s="121">
        <f>SUM(D32:D41)</f>
        <v>128460096.52000001</v>
      </c>
      <c r="E30" s="121">
        <f>SUM(E32:E41)</f>
        <v>0</v>
      </c>
    </row>
    <row r="31" spans="1:8" ht="15.75" x14ac:dyDescent="0.25">
      <c r="A31" s="125"/>
      <c r="B31" s="128"/>
      <c r="C31" s="121"/>
      <c r="D31" s="121"/>
      <c r="E31" s="121"/>
    </row>
    <row r="32" spans="1:8" ht="15.75" x14ac:dyDescent="0.25">
      <c r="A32" s="118" t="s">
        <v>258</v>
      </c>
      <c r="B32" s="129" t="s">
        <v>228</v>
      </c>
      <c r="C32" s="121">
        <f>11741386.74+162660865.42+404216.68+115052.02+58747946.16+8687811.33+10904187.75+15850183.62</f>
        <v>269111649.72000003</v>
      </c>
      <c r="D32" s="121">
        <f>70000000+58460096.52</f>
        <v>128460096.52000001</v>
      </c>
      <c r="E32" s="121"/>
      <c r="F32" s="111"/>
      <c r="H32" s="111"/>
    </row>
    <row r="33" spans="1:8" ht="15.75" x14ac:dyDescent="0.25">
      <c r="A33" s="118" t="s">
        <v>259</v>
      </c>
      <c r="B33" s="128" t="s">
        <v>230</v>
      </c>
      <c r="C33" s="121">
        <f>29246285.09+590682</f>
        <v>29836967.09</v>
      </c>
      <c r="D33" s="121"/>
      <c r="E33" s="121"/>
      <c r="F33" s="111"/>
    </row>
    <row r="34" spans="1:8" ht="15.75" x14ac:dyDescent="0.25">
      <c r="A34" s="118" t="s">
        <v>260</v>
      </c>
      <c r="B34" s="128" t="s">
        <v>232</v>
      </c>
      <c r="C34" s="121">
        <f>50264562.05+997395.6</f>
        <v>51261957.649999999</v>
      </c>
      <c r="D34" s="121"/>
      <c r="E34" s="121"/>
      <c r="F34" s="111"/>
    </row>
    <row r="35" spans="1:8" ht="15.75" x14ac:dyDescent="0.25">
      <c r="A35" s="118" t="s">
        <v>261</v>
      </c>
      <c r="B35" s="119" t="s">
        <v>234</v>
      </c>
      <c r="C35" s="121">
        <f>11841750.4+154000</f>
        <v>11995750.4</v>
      </c>
      <c r="D35" s="121"/>
      <c r="E35" s="121"/>
      <c r="F35" s="111"/>
    </row>
    <row r="36" spans="1:8" ht="15.75" x14ac:dyDescent="0.25">
      <c r="A36" s="118" t="s">
        <v>262</v>
      </c>
      <c r="B36" s="119" t="s">
        <v>236</v>
      </c>
      <c r="C36" s="121">
        <v>8815944.9900000002</v>
      </c>
      <c r="D36" s="121"/>
      <c r="E36" s="121"/>
      <c r="F36" s="111"/>
    </row>
    <row r="37" spans="1:8" ht="15.75" x14ac:dyDescent="0.25">
      <c r="A37" s="118" t="s">
        <v>263</v>
      </c>
      <c r="B37" s="119" t="s">
        <v>238</v>
      </c>
      <c r="C37" s="121">
        <v>4779000</v>
      </c>
      <c r="D37" s="121"/>
      <c r="E37" s="121"/>
      <c r="F37" s="111"/>
    </row>
    <row r="38" spans="1:8" ht="15.75" x14ac:dyDescent="0.25">
      <c r="A38" s="118" t="s">
        <v>264</v>
      </c>
      <c r="B38" s="119" t="s">
        <v>240</v>
      </c>
      <c r="C38" s="121">
        <f>4984975.28+8100000</f>
        <v>13084975.280000001</v>
      </c>
      <c r="D38" s="121"/>
      <c r="E38" s="121"/>
      <c r="F38" s="111"/>
    </row>
    <row r="39" spans="1:8" ht="15.75" x14ac:dyDescent="0.25">
      <c r="A39" s="118" t="s">
        <v>265</v>
      </c>
      <c r="B39" s="119" t="s">
        <v>242</v>
      </c>
      <c r="C39" s="121">
        <v>44816980</v>
      </c>
      <c r="D39" s="121"/>
      <c r="E39" s="121"/>
      <c r="F39" s="111"/>
    </row>
    <row r="40" spans="1:8" ht="15.75" x14ac:dyDescent="0.25">
      <c r="A40" s="118" t="s">
        <v>266</v>
      </c>
      <c r="B40" s="119" t="s">
        <v>244</v>
      </c>
      <c r="C40" s="121">
        <f>4096737.74+694243.75-255717.94</f>
        <v>4535263.55</v>
      </c>
      <c r="D40" s="121"/>
      <c r="E40" s="121"/>
      <c r="F40" s="111"/>
      <c r="H40" s="111"/>
    </row>
    <row r="41" spans="1:8" ht="15.75" x14ac:dyDescent="0.25">
      <c r="A41" s="118" t="s">
        <v>267</v>
      </c>
      <c r="B41" s="119" t="s">
        <v>246</v>
      </c>
      <c r="C41" s="121">
        <f>4160168.9+1998000</f>
        <v>6158168.9000000004</v>
      </c>
      <c r="D41" s="121"/>
      <c r="E41" s="121"/>
      <c r="F41" s="111"/>
    </row>
    <row r="42" spans="1:8" ht="15.75" x14ac:dyDescent="0.25">
      <c r="A42" s="118" t="s">
        <v>268</v>
      </c>
      <c r="B42" s="119" t="s">
        <v>248</v>
      </c>
      <c r="C42" s="121">
        <f>2630000+2110000+4616400+4509902</f>
        <v>13866302</v>
      </c>
      <c r="D42" s="121"/>
      <c r="E42" s="121"/>
      <c r="F42" s="111"/>
    </row>
    <row r="43" spans="1:8" s="132" customFormat="1" ht="15.75" x14ac:dyDescent="0.25">
      <c r="A43" s="130"/>
      <c r="B43" s="130" t="s">
        <v>13</v>
      </c>
      <c r="C43" s="131">
        <f>C13+C25+C27</f>
        <v>1207155829.5799999</v>
      </c>
      <c r="D43" s="131">
        <f>D13+D25+D27</f>
        <v>314211396.51999998</v>
      </c>
      <c r="E43" s="131">
        <f>E13+E25+E27</f>
        <v>201199400</v>
      </c>
      <c r="G43" s="133"/>
    </row>
    <row r="44" spans="1:8" ht="15.75" x14ac:dyDescent="0.25">
      <c r="B44" s="129"/>
      <c r="C44" s="134"/>
      <c r="D44" s="134"/>
      <c r="E44" s="134"/>
    </row>
  </sheetData>
  <mergeCells count="1">
    <mergeCell ref="A10:E10"/>
  </mergeCells>
  <pageMargins left="0.70866141732283472" right="0.70866141732283472" top="0.74803149606299213" bottom="0.74803149606299213" header="0.31496062992125984" footer="0.31496062992125984"/>
  <pageSetup paperSize="9" scale="5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4"/>
  <sheetViews>
    <sheetView workbookViewId="0">
      <selection activeCell="C43" sqref="C43"/>
    </sheetView>
  </sheetViews>
  <sheetFormatPr defaultRowHeight="15" x14ac:dyDescent="0.25"/>
  <cols>
    <col min="1" max="1" width="7.5703125" style="107" customWidth="1"/>
    <col min="2" max="2" width="79.5703125" style="107" customWidth="1"/>
    <col min="3" max="3" width="21.7109375" style="110" customWidth="1"/>
    <col min="4" max="4" width="23.7109375" style="110" customWidth="1"/>
    <col min="5" max="5" width="21.7109375" style="110" customWidth="1"/>
  </cols>
  <sheetData>
    <row r="2" spans="1:5" ht="18.75" x14ac:dyDescent="0.3">
      <c r="B2" s="137"/>
      <c r="C2" s="109" t="s">
        <v>214</v>
      </c>
    </row>
    <row r="3" spans="1:5" ht="18.75" x14ac:dyDescent="0.3">
      <c r="B3" s="138"/>
      <c r="C3" s="109" t="s">
        <v>1</v>
      </c>
    </row>
    <row r="4" spans="1:5" ht="18.75" x14ac:dyDescent="0.3">
      <c r="B4" s="138"/>
      <c r="C4" s="109" t="s">
        <v>2</v>
      </c>
    </row>
    <row r="5" spans="1:5" ht="18.75" x14ac:dyDescent="0.3">
      <c r="B5" s="137"/>
      <c r="C5" s="109" t="s">
        <v>3</v>
      </c>
    </row>
    <row r="6" spans="1:5" ht="18.75" x14ac:dyDescent="0.3">
      <c r="B6" s="138"/>
      <c r="C6" s="109" t="s">
        <v>4</v>
      </c>
    </row>
    <row r="7" spans="1:5" ht="18.75" x14ac:dyDescent="0.3">
      <c r="B7" s="138"/>
      <c r="C7" s="109" t="s">
        <v>694</v>
      </c>
    </row>
    <row r="8" spans="1:5" ht="18.75" x14ac:dyDescent="0.3">
      <c r="C8" s="109" t="s">
        <v>693</v>
      </c>
    </row>
    <row r="11" spans="1:5" ht="41.25" customHeight="1" x14ac:dyDescent="0.25">
      <c r="A11" s="353" t="s">
        <v>319</v>
      </c>
      <c r="B11" s="353"/>
      <c r="C11" s="353"/>
      <c r="D11" s="353"/>
      <c r="E11" s="353"/>
    </row>
    <row r="12" spans="1:5" x14ac:dyDescent="0.25">
      <c r="E12" s="112" t="s">
        <v>5</v>
      </c>
    </row>
    <row r="13" spans="1:5" x14ac:dyDescent="0.25">
      <c r="A13" s="139"/>
      <c r="B13" s="140" t="s">
        <v>273</v>
      </c>
      <c r="C13" s="141" t="s">
        <v>11</v>
      </c>
      <c r="D13" s="141" t="s">
        <v>12</v>
      </c>
      <c r="E13" s="141" t="s">
        <v>143</v>
      </c>
    </row>
    <row r="14" spans="1:5" ht="15.75" x14ac:dyDescent="0.25">
      <c r="A14" s="142"/>
      <c r="B14" s="116" t="s">
        <v>274</v>
      </c>
      <c r="C14" s="123">
        <f>C18+C21+C27+C24</f>
        <v>1108885112.583333</v>
      </c>
      <c r="D14" s="123">
        <f>D18+D21+D27+D24</f>
        <v>168720833.2343998</v>
      </c>
      <c r="E14" s="123">
        <f>E18+E21+E27+E24</f>
        <v>-417147133.93411732</v>
      </c>
    </row>
    <row r="15" spans="1:5" ht="15.75" x14ac:dyDescent="0.25">
      <c r="A15" s="143" t="s">
        <v>275</v>
      </c>
      <c r="B15" s="116" t="s">
        <v>270</v>
      </c>
      <c r="C15" s="123"/>
      <c r="D15" s="144" t="s">
        <v>276</v>
      </c>
      <c r="E15" s="144"/>
    </row>
    <row r="16" spans="1:5" ht="15.75" hidden="1" x14ac:dyDescent="0.25">
      <c r="A16" s="145" t="s">
        <v>277</v>
      </c>
      <c r="B16" s="119" t="s">
        <v>278</v>
      </c>
      <c r="C16" s="120"/>
      <c r="D16" s="144"/>
      <c r="E16" s="144"/>
    </row>
    <row r="17" spans="1:5" ht="15.75" hidden="1" x14ac:dyDescent="0.25">
      <c r="A17" s="145" t="s">
        <v>279</v>
      </c>
      <c r="B17" s="119" t="s">
        <v>280</v>
      </c>
      <c r="C17" s="120"/>
      <c r="D17" s="144"/>
      <c r="E17" s="144"/>
    </row>
    <row r="18" spans="1:5" ht="15.75" x14ac:dyDescent="0.25">
      <c r="A18" s="143" t="s">
        <v>281</v>
      </c>
      <c r="B18" s="116" t="s">
        <v>282</v>
      </c>
      <c r="C18" s="123">
        <f>C19+C20</f>
        <v>0</v>
      </c>
      <c r="D18" s="123">
        <f>D19+D20</f>
        <v>0</v>
      </c>
      <c r="E18" s="123">
        <f>E19+E20</f>
        <v>0</v>
      </c>
    </row>
    <row r="19" spans="1:5" ht="15.75" hidden="1" x14ac:dyDescent="0.25">
      <c r="A19" s="145" t="s">
        <v>283</v>
      </c>
      <c r="B19" s="119" t="s">
        <v>278</v>
      </c>
      <c r="C19" s="120">
        <v>0</v>
      </c>
      <c r="D19" s="144"/>
      <c r="E19" s="144"/>
    </row>
    <row r="20" spans="1:5" ht="15.75" hidden="1" x14ac:dyDescent="0.25">
      <c r="A20" s="145" t="s">
        <v>284</v>
      </c>
      <c r="B20" s="119" t="s">
        <v>280</v>
      </c>
      <c r="C20" s="120"/>
      <c r="D20" s="144"/>
      <c r="E20" s="144"/>
    </row>
    <row r="21" spans="1:5" ht="15.75" x14ac:dyDescent="0.25">
      <c r="A21" s="143" t="s">
        <v>285</v>
      </c>
      <c r="B21" s="116" t="s">
        <v>286</v>
      </c>
      <c r="C21" s="123">
        <f>C22+C23</f>
        <v>0</v>
      </c>
      <c r="D21" s="123">
        <f>D22+D23</f>
        <v>0</v>
      </c>
      <c r="E21" s="123">
        <f>E22+E23</f>
        <v>0</v>
      </c>
    </row>
    <row r="22" spans="1:5" ht="15.75" hidden="1" x14ac:dyDescent="0.25">
      <c r="A22" s="145" t="s">
        <v>287</v>
      </c>
      <c r="B22" s="119" t="s">
        <v>278</v>
      </c>
      <c r="C22" s="121"/>
      <c r="D22" s="144"/>
      <c r="E22" s="146"/>
    </row>
    <row r="23" spans="1:5" ht="15.75" hidden="1" x14ac:dyDescent="0.25">
      <c r="A23" s="145" t="s">
        <v>288</v>
      </c>
      <c r="B23" s="119" t="s">
        <v>280</v>
      </c>
      <c r="C23" s="135"/>
      <c r="D23" s="144"/>
      <c r="E23" s="144"/>
    </row>
    <row r="24" spans="1:5" ht="31.5" x14ac:dyDescent="0.25">
      <c r="A24" s="143" t="s">
        <v>289</v>
      </c>
      <c r="B24" s="116" t="s">
        <v>290</v>
      </c>
      <c r="C24" s="123">
        <f>C25+C26</f>
        <v>1086385112.583333</v>
      </c>
      <c r="D24" s="123">
        <f>D25+D26</f>
        <v>168720833.2343998</v>
      </c>
      <c r="E24" s="123">
        <f>E25+E26</f>
        <v>-417147133.93411732</v>
      </c>
    </row>
    <row r="25" spans="1:5" ht="15.75" x14ac:dyDescent="0.25">
      <c r="A25" s="145" t="s">
        <v>291</v>
      </c>
      <c r="B25" s="119" t="s">
        <v>292</v>
      </c>
      <c r="C25" s="120">
        <f>-Приложение_1!C127-C37</f>
        <v>-5271509022.6300001</v>
      </c>
      <c r="D25" s="120">
        <f>-Приложение_1!D127</f>
        <v>-4927726813.3800001</v>
      </c>
      <c r="E25" s="120">
        <f>-Приложение_1!E127</f>
        <v>-5139176344.0299997</v>
      </c>
    </row>
    <row r="26" spans="1:5" ht="15.75" x14ac:dyDescent="0.25">
      <c r="A26" s="145" t="s">
        <v>293</v>
      </c>
      <c r="B26" s="119" t="s">
        <v>294</v>
      </c>
      <c r="C26" s="120">
        <f>'Приложение 4'!G15+1921997404.1</f>
        <v>6357894135.2133331</v>
      </c>
      <c r="D26" s="120">
        <f>'Приложение 4'!H15+1625635258.1</f>
        <v>5096447646.6143999</v>
      </c>
      <c r="E26" s="120">
        <f>'Приложение 4'!I15+1641698509.1</f>
        <v>4722029210.0958824</v>
      </c>
    </row>
    <row r="27" spans="1:5" ht="31.5" x14ac:dyDescent="0.25">
      <c r="A27" s="143" t="s">
        <v>295</v>
      </c>
      <c r="B27" s="116" t="s">
        <v>296</v>
      </c>
      <c r="C27" s="123">
        <f>C35</f>
        <v>22500000</v>
      </c>
      <c r="D27" s="123">
        <f>D35</f>
        <v>0</v>
      </c>
      <c r="E27" s="123">
        <f>E35</f>
        <v>0</v>
      </c>
    </row>
    <row r="28" spans="1:5" ht="31.5" hidden="1" x14ac:dyDescent="0.25">
      <c r="A28" s="143" t="s">
        <v>297</v>
      </c>
      <c r="B28" s="116" t="s">
        <v>298</v>
      </c>
      <c r="C28" s="123">
        <v>0</v>
      </c>
      <c r="D28" s="123">
        <v>0</v>
      </c>
      <c r="E28" s="123">
        <v>0</v>
      </c>
    </row>
    <row r="29" spans="1:5" ht="15.75" hidden="1" x14ac:dyDescent="0.25">
      <c r="A29" s="145" t="s">
        <v>299</v>
      </c>
      <c r="B29" s="119" t="s">
        <v>300</v>
      </c>
      <c r="C29" s="120"/>
      <c r="D29" s="144"/>
      <c r="E29" s="144"/>
    </row>
    <row r="30" spans="1:5" ht="15.75" hidden="1" x14ac:dyDescent="0.25">
      <c r="A30" s="145" t="s">
        <v>301</v>
      </c>
      <c r="B30" s="119" t="s">
        <v>302</v>
      </c>
      <c r="C30" s="120"/>
      <c r="D30" s="144"/>
      <c r="E30" s="144"/>
    </row>
    <row r="31" spans="1:5" ht="31.5" hidden="1" x14ac:dyDescent="0.25">
      <c r="A31" s="143" t="s">
        <v>303</v>
      </c>
      <c r="B31" s="116" t="s">
        <v>304</v>
      </c>
      <c r="C31" s="123">
        <v>0</v>
      </c>
      <c r="D31" s="123">
        <v>0</v>
      </c>
      <c r="E31" s="123">
        <v>0</v>
      </c>
    </row>
    <row r="32" spans="1:5" ht="15.75" hidden="1" x14ac:dyDescent="0.25">
      <c r="A32" s="145" t="s">
        <v>305</v>
      </c>
      <c r="B32" s="119" t="s">
        <v>306</v>
      </c>
      <c r="C32" s="120"/>
      <c r="D32" s="144"/>
      <c r="E32" s="144"/>
    </row>
    <row r="33" spans="1:5" ht="15.75" hidden="1" x14ac:dyDescent="0.25">
      <c r="A33" s="145" t="s">
        <v>307</v>
      </c>
      <c r="B33" s="119" t="s">
        <v>308</v>
      </c>
      <c r="C33" s="120"/>
      <c r="D33" s="144"/>
      <c r="E33" s="144"/>
    </row>
    <row r="34" spans="1:5" ht="15.75" hidden="1" x14ac:dyDescent="0.25">
      <c r="A34" s="143" t="s">
        <v>309</v>
      </c>
      <c r="B34" s="116" t="s">
        <v>310</v>
      </c>
      <c r="C34" s="123">
        <v>0</v>
      </c>
      <c r="D34" s="123">
        <v>0</v>
      </c>
      <c r="E34" s="123">
        <v>0</v>
      </c>
    </row>
    <row r="35" spans="1:5" ht="31.5" x14ac:dyDescent="0.25">
      <c r="A35" s="143" t="s">
        <v>311</v>
      </c>
      <c r="B35" s="116" t="s">
        <v>312</v>
      </c>
      <c r="C35" s="123">
        <f>SUM(C37:C37)</f>
        <v>22500000</v>
      </c>
      <c r="D35" s="123">
        <f>SUM(D37:D37)</f>
        <v>0</v>
      </c>
      <c r="E35" s="123">
        <f>SUM(E37:E37)</f>
        <v>0</v>
      </c>
    </row>
    <row r="36" spans="1:5" ht="15.75" x14ac:dyDescent="0.25">
      <c r="A36" s="145" t="s">
        <v>313</v>
      </c>
      <c r="B36" s="119" t="s">
        <v>314</v>
      </c>
      <c r="C36" s="123"/>
      <c r="D36" s="123"/>
      <c r="E36" s="123"/>
    </row>
    <row r="37" spans="1:5" ht="15.75" x14ac:dyDescent="0.25">
      <c r="A37" s="145" t="s">
        <v>315</v>
      </c>
      <c r="B37" s="119" t="s">
        <v>316</v>
      </c>
      <c r="C37" s="147">
        <v>22500000</v>
      </c>
      <c r="D37" s="147"/>
      <c r="E37" s="121">
        <v>0</v>
      </c>
    </row>
    <row r="38" spans="1:5" ht="15.75" hidden="1" x14ac:dyDescent="0.25">
      <c r="A38" s="143" t="s">
        <v>317</v>
      </c>
      <c r="B38" s="116" t="s">
        <v>271</v>
      </c>
      <c r="C38" s="123">
        <f>C39</f>
        <v>0</v>
      </c>
      <c r="D38" s="123">
        <f>D39</f>
        <v>0</v>
      </c>
      <c r="E38" s="123">
        <f>E39</f>
        <v>0</v>
      </c>
    </row>
    <row r="39" spans="1:5" ht="15.75" hidden="1" x14ac:dyDescent="0.25">
      <c r="A39" s="145" t="s">
        <v>318</v>
      </c>
      <c r="B39" s="119" t="s">
        <v>272</v>
      </c>
      <c r="C39" s="120"/>
      <c r="D39" s="144"/>
      <c r="E39" s="144"/>
    </row>
    <row r="41" spans="1:5" x14ac:dyDescent="0.25">
      <c r="C41" s="148"/>
      <c r="D41" s="347"/>
      <c r="E41" s="347"/>
    </row>
    <row r="42" spans="1:5" x14ac:dyDescent="0.25">
      <c r="C42" s="111"/>
    </row>
    <row r="44" spans="1:5" x14ac:dyDescent="0.25">
      <c r="B44" s="136"/>
    </row>
  </sheetData>
  <mergeCells count="1">
    <mergeCell ref="A11:E11"/>
  </mergeCells>
  <pageMargins left="0.70866141732283472" right="0.70866141732283472" top="0.74803149606299213" bottom="0.74803149606299213" header="0.31496062992125984" footer="0.31496062992125984"/>
  <pageSetup paperSize="9" scale="56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Приложение_1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Приложение_1!Область_печати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 Юрочкина</dc:creator>
  <cp:lastModifiedBy>Седых Татьяна Михайловна</cp:lastModifiedBy>
  <cp:lastPrinted>2024-08-02T03:25:37Z</cp:lastPrinted>
  <dcterms:created xsi:type="dcterms:W3CDTF">2023-10-02T01:55:34Z</dcterms:created>
  <dcterms:modified xsi:type="dcterms:W3CDTF">2024-08-12T02:50:07Z</dcterms:modified>
</cp:coreProperties>
</file>