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Решения бюджет 2023-2025\2 сессия ноябрь 2023\Окночательный 2-е уточнене 2023-2025\"/>
    </mc:Choice>
  </mc:AlternateContent>
  <bookViews>
    <workbookView xWindow="0" yWindow="0" windowWidth="28800" windowHeight="11835" firstSheet="1" activeTab="8"/>
  </bookViews>
  <sheets>
    <sheet name="Приложение_1" sheetId="2" r:id="rId1"/>
    <sheet name="Приложение 2" sheetId="10" r:id="rId2"/>
    <sheet name="Приложение 3" sheetId="11" r:id="rId3"/>
    <sheet name="Приложение 4" sheetId="12" r:id="rId4"/>
    <sheet name="Приложение 5" sheetId="13" r:id="rId5"/>
    <sheet name="Приложение 6" sheetId="14" r:id="rId6"/>
    <sheet name="Приложение 7" sheetId="17" r:id="rId7"/>
    <sheet name="Приложение 8" sheetId="19" r:id="rId8"/>
    <sheet name="Приложение 9" sheetId="18" r:id="rId9"/>
  </sheets>
  <definedNames>
    <definedName name="_xlnm._FilterDatabase" localSheetId="3" hidden="1">'Приложение 4'!$A$14:$I$323</definedName>
    <definedName name="_xlnm._FilterDatabase" localSheetId="4" hidden="1">'Приложение 5'!$A$15:$I$324</definedName>
    <definedName name="_xlnm._FilterDatabase" localSheetId="5" hidden="1">'Приложение 6'!$A$13:$J$292</definedName>
    <definedName name="_xlnm.Print_Area" localSheetId="1">'Приложение 2'!$A$1:$F$117</definedName>
    <definedName name="_xlnm.Print_Area" localSheetId="0">Приложение_1!$A$1:$E$101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2" l="1"/>
  <c r="F192" i="12" l="1"/>
  <c r="C16" i="2" l="1"/>
  <c r="F243" i="12"/>
  <c r="F31" i="11"/>
  <c r="F137" i="11" l="1"/>
  <c r="H121" i="14"/>
  <c r="H143" i="14"/>
  <c r="H174" i="14"/>
  <c r="F58" i="12" l="1"/>
  <c r="F57" i="12"/>
  <c r="F198" i="12"/>
  <c r="F153" i="12"/>
  <c r="F150" i="12"/>
  <c r="F132" i="12" l="1"/>
  <c r="F14" i="18" l="1"/>
  <c r="C28" i="18"/>
  <c r="D19" i="18"/>
  <c r="F58" i="11" l="1"/>
  <c r="F271" i="12"/>
  <c r="F318" i="12"/>
  <c r="F317" i="12"/>
  <c r="F196" i="12"/>
  <c r="F170" i="12" l="1"/>
  <c r="F169" i="12"/>
  <c r="E69" i="10"/>
  <c r="F69" i="10"/>
  <c r="D69" i="10"/>
  <c r="H148" i="13"/>
  <c r="H147" i="13" s="1"/>
  <c r="I148" i="13"/>
  <c r="I147" i="13" s="1"/>
  <c r="G148" i="13"/>
  <c r="G147" i="13" s="1"/>
  <c r="G146" i="12"/>
  <c r="H146" i="12"/>
  <c r="F146" i="12"/>
  <c r="H104" i="14" l="1"/>
  <c r="H103" i="14"/>
  <c r="F131" i="12"/>
  <c r="G32" i="12"/>
  <c r="H33" i="13" s="1"/>
  <c r="H32" i="12"/>
  <c r="I33" i="13" s="1"/>
  <c r="F32" i="12"/>
  <c r="G33" i="13" s="1"/>
  <c r="F264" i="12"/>
  <c r="F90" i="12"/>
  <c r="F71" i="11"/>
  <c r="F152" i="12" l="1"/>
  <c r="F227" i="12"/>
  <c r="F214" i="12"/>
  <c r="F164" i="12"/>
  <c r="F185" i="12"/>
  <c r="F92" i="12"/>
  <c r="F306" i="12"/>
  <c r="F307" i="12"/>
  <c r="F42" i="11"/>
  <c r="F41" i="11"/>
  <c r="F39" i="11"/>
  <c r="F65" i="11"/>
  <c r="F45" i="11"/>
  <c r="F111" i="11"/>
  <c r="F212" i="11"/>
  <c r="F124" i="11"/>
  <c r="F73" i="11"/>
  <c r="F63" i="11"/>
  <c r="F19" i="11"/>
  <c r="C93" i="2" l="1"/>
  <c r="F173" i="12"/>
  <c r="F229" i="12" l="1"/>
  <c r="F228" i="12"/>
  <c r="F93" i="12"/>
  <c r="F81" i="11" l="1"/>
  <c r="H73" i="12"/>
  <c r="G85" i="11"/>
  <c r="H85" i="11"/>
  <c r="F85" i="11"/>
  <c r="F193" i="11"/>
  <c r="C124" i="2" l="1"/>
  <c r="C80" i="2"/>
  <c r="E19" i="18"/>
  <c r="E14" i="18" s="1"/>
  <c r="G198" i="11"/>
  <c r="G99" i="11"/>
  <c r="G73" i="12" s="1"/>
  <c r="G106" i="12"/>
  <c r="G223" i="12" l="1"/>
  <c r="G222" i="12" s="1"/>
  <c r="G221" i="12" s="1"/>
  <c r="H223" i="12"/>
  <c r="H222" i="12" s="1"/>
  <c r="H221" i="12" s="1"/>
  <c r="F223" i="12"/>
  <c r="G224" i="13" s="1"/>
  <c r="G223" i="13" s="1"/>
  <c r="G222" i="13" s="1"/>
  <c r="G204" i="12"/>
  <c r="H205" i="13" s="1"/>
  <c r="H204" i="12"/>
  <c r="I205" i="13" s="1"/>
  <c r="F204" i="12"/>
  <c r="G205" i="13" s="1"/>
  <c r="G177" i="12"/>
  <c r="G176" i="12" s="1"/>
  <c r="G175" i="12" s="1"/>
  <c r="H177" i="12"/>
  <c r="H176" i="12" s="1"/>
  <c r="H175" i="12" s="1"/>
  <c r="F42" i="12"/>
  <c r="F222" i="12" l="1"/>
  <c r="F221" i="12" s="1"/>
  <c r="H224" i="13"/>
  <c r="H223" i="13" s="1"/>
  <c r="H222" i="13" s="1"/>
  <c r="I224" i="13"/>
  <c r="I223" i="13" s="1"/>
  <c r="I222" i="13" s="1"/>
  <c r="I178" i="13"/>
  <c r="I177" i="13" s="1"/>
  <c r="I176" i="13" s="1"/>
  <c r="H178" i="13"/>
  <c r="H177" i="13" s="1"/>
  <c r="H176" i="13" s="1"/>
  <c r="C50" i="17" l="1"/>
  <c r="C49" i="17"/>
  <c r="C45" i="17"/>
  <c r="C51" i="17"/>
  <c r="C47" i="17"/>
  <c r="C52" i="17"/>
  <c r="C48" i="17"/>
  <c r="C53" i="17"/>
  <c r="F236" i="11"/>
  <c r="C35" i="17"/>
  <c r="C36" i="17"/>
  <c r="C32" i="17"/>
  <c r="C34" i="17"/>
  <c r="C31" i="17"/>
  <c r="C30" i="17"/>
  <c r="C33" i="17"/>
  <c r="C29" i="17"/>
  <c r="C28" i="17"/>
  <c r="C27" i="17"/>
  <c r="C26" i="17"/>
  <c r="H287" i="14"/>
  <c r="H264" i="14"/>
  <c r="H261" i="14"/>
  <c r="H259" i="14"/>
  <c r="H258" i="14"/>
  <c r="H255" i="14"/>
  <c r="H156" i="14"/>
  <c r="H154" i="14"/>
  <c r="J120" i="14"/>
  <c r="I120" i="14"/>
  <c r="H120" i="14"/>
  <c r="H68" i="14"/>
  <c r="H52" i="14"/>
  <c r="H49" i="14"/>
  <c r="F304" i="12"/>
  <c r="F303" i="12"/>
  <c r="F289" i="12"/>
  <c r="F290" i="12"/>
  <c r="F269" i="12" l="1"/>
  <c r="D20" i="18"/>
  <c r="F255" i="12"/>
  <c r="F215" i="12"/>
  <c r="F216" i="12"/>
  <c r="D15" i="18" l="1"/>
  <c r="F156" i="12"/>
  <c r="F134" i="12"/>
  <c r="F133" i="12" l="1"/>
  <c r="H109" i="13" l="1"/>
  <c r="H108" i="13" s="1"/>
  <c r="I109" i="13"/>
  <c r="I108" i="13" s="1"/>
  <c r="E83" i="10"/>
  <c r="E82" i="10" s="1"/>
  <c r="F83" i="10"/>
  <c r="F82" i="10" s="1"/>
  <c r="F106" i="12"/>
  <c r="F108" i="12"/>
  <c r="G109" i="13" s="1"/>
  <c r="G108" i="13" s="1"/>
  <c r="G107" i="12"/>
  <c r="H107" i="12"/>
  <c r="F55" i="12"/>
  <c r="F53" i="12"/>
  <c r="D18" i="18"/>
  <c r="F174" i="12"/>
  <c r="F54" i="12"/>
  <c r="E116" i="10"/>
  <c r="F116" i="10"/>
  <c r="D116" i="10"/>
  <c r="H60" i="13"/>
  <c r="I60" i="13"/>
  <c r="G60" i="13"/>
  <c r="G56" i="12"/>
  <c r="H56" i="12"/>
  <c r="D83" i="10" l="1"/>
  <c r="D82" i="10" s="1"/>
  <c r="F107" i="12"/>
  <c r="F50" i="12"/>
  <c r="F215" i="11"/>
  <c r="F198" i="11"/>
  <c r="H217" i="14"/>
  <c r="F181" i="11"/>
  <c r="G181" i="11"/>
  <c r="G180" i="11" s="1"/>
  <c r="G179" i="11" s="1"/>
  <c r="G178" i="11" s="1"/>
  <c r="H181" i="11"/>
  <c r="H180" i="11" s="1"/>
  <c r="H179" i="11" s="1"/>
  <c r="H178" i="11" s="1"/>
  <c r="F180" i="11" l="1"/>
  <c r="F176" i="11"/>
  <c r="G174" i="11"/>
  <c r="H174" i="11"/>
  <c r="G167" i="11"/>
  <c r="H167" i="11"/>
  <c r="F167" i="11"/>
  <c r="F174" i="11" l="1"/>
  <c r="F179" i="11"/>
  <c r="F170" i="11"/>
  <c r="F161" i="11"/>
  <c r="F163" i="11"/>
  <c r="F155" i="11"/>
  <c r="F178" i="11" l="1"/>
  <c r="F177" i="12"/>
  <c r="G178" i="13" s="1"/>
  <c r="G177" i="13" s="1"/>
  <c r="G176" i="13" s="1"/>
  <c r="F99" i="11"/>
  <c r="F105" i="11"/>
  <c r="F92" i="11"/>
  <c r="F90" i="11"/>
  <c r="F89" i="11"/>
  <c r="F70" i="12" l="1"/>
  <c r="F176" i="12"/>
  <c r="F175" i="12" s="1"/>
  <c r="F78" i="11"/>
  <c r="G50" i="11"/>
  <c r="H50" i="11"/>
  <c r="G52" i="11"/>
  <c r="H52" i="11"/>
  <c r="F52" i="11"/>
  <c r="H42" i="14"/>
  <c r="C125" i="2" l="1"/>
  <c r="C120" i="2"/>
  <c r="C118" i="2"/>
  <c r="C95" i="2"/>
  <c r="C56" i="2"/>
  <c r="C68" i="2"/>
  <c r="D16" i="2" l="1"/>
  <c r="C44" i="17" l="1"/>
  <c r="H127" i="13" l="1"/>
  <c r="I127" i="13"/>
  <c r="G64" i="11"/>
  <c r="H64" i="11"/>
  <c r="F64" i="11"/>
  <c r="F165" i="12" l="1"/>
  <c r="F183" i="12"/>
  <c r="F182" i="12"/>
  <c r="F181" i="12"/>
  <c r="F283" i="12"/>
  <c r="E45" i="10"/>
  <c r="F45" i="10"/>
  <c r="D45" i="10"/>
  <c r="H292" i="13"/>
  <c r="I292" i="13"/>
  <c r="G292" i="13"/>
  <c r="G287" i="12"/>
  <c r="H287" i="12"/>
  <c r="F287" i="12"/>
  <c r="G64" i="12"/>
  <c r="H64" i="12"/>
  <c r="G62" i="11"/>
  <c r="H62" i="11"/>
  <c r="F62" i="11"/>
  <c r="F46" i="11"/>
  <c r="F194" i="12" l="1"/>
  <c r="F191" i="12"/>
  <c r="H159" i="14" l="1"/>
  <c r="H158" i="14"/>
  <c r="G313" i="12"/>
  <c r="H313" i="12"/>
  <c r="F313" i="12"/>
  <c r="G314" i="13" s="1"/>
  <c r="F187" i="11" l="1"/>
  <c r="C126" i="2" l="1"/>
  <c r="C46" i="17" l="1"/>
  <c r="C42" i="17" s="1"/>
  <c r="F126" i="12"/>
  <c r="G127" i="13" s="1"/>
  <c r="F125" i="12"/>
  <c r="G124" i="12"/>
  <c r="H124" i="12"/>
  <c r="D107" i="10"/>
  <c r="E107" i="10"/>
  <c r="F107" i="10"/>
  <c r="F124" i="12" l="1"/>
  <c r="C50" i="2"/>
  <c r="C54" i="2"/>
  <c r="C53" i="2"/>
  <c r="C52" i="2"/>
  <c r="C51" i="2"/>
  <c r="C110" i="2" l="1"/>
  <c r="C106" i="2"/>
  <c r="C107" i="2" l="1"/>
  <c r="H142" i="14" l="1"/>
  <c r="H126" i="14" l="1"/>
  <c r="H124" i="14"/>
  <c r="H204" i="14"/>
  <c r="H206" i="14"/>
  <c r="H271" i="14"/>
  <c r="H178" i="14"/>
  <c r="H188" i="14"/>
  <c r="H172" i="14"/>
  <c r="H141" i="14"/>
  <c r="H139" i="14"/>
  <c r="H119" i="14"/>
  <c r="H118" i="14" s="1"/>
  <c r="I73" i="14"/>
  <c r="J73" i="14"/>
  <c r="H73" i="14"/>
  <c r="I118" i="14"/>
  <c r="J118" i="14"/>
  <c r="I40" i="14"/>
  <c r="J40" i="14"/>
  <c r="H41" i="14"/>
  <c r="H40" i="14" s="1"/>
  <c r="H138" i="14" l="1"/>
  <c r="C27" i="18" l="1"/>
  <c r="E110" i="10" l="1"/>
  <c r="F110" i="10"/>
  <c r="D110" i="10"/>
  <c r="H174" i="13"/>
  <c r="I174" i="13"/>
  <c r="G174" i="13"/>
  <c r="G172" i="12"/>
  <c r="H172" i="12"/>
  <c r="F172" i="12"/>
  <c r="D26" i="18"/>
  <c r="F224" i="11" l="1"/>
  <c r="E93" i="10"/>
  <c r="F93" i="10"/>
  <c r="E94" i="10"/>
  <c r="F94" i="10"/>
  <c r="D94" i="10"/>
  <c r="D93" i="10"/>
  <c r="H220" i="13"/>
  <c r="I220" i="13"/>
  <c r="H221" i="13"/>
  <c r="I221" i="13"/>
  <c r="G221" i="13"/>
  <c r="G220" i="13"/>
  <c r="G218" i="12"/>
  <c r="G217" i="12" s="1"/>
  <c r="H218" i="12"/>
  <c r="H217" i="12" s="1"/>
  <c r="F218" i="12"/>
  <c r="F217" i="12" s="1"/>
  <c r="D92" i="10" l="1"/>
  <c r="D91" i="10" s="1"/>
  <c r="F92" i="10"/>
  <c r="F91" i="10" s="1"/>
  <c r="G219" i="13"/>
  <c r="G218" i="13" s="1"/>
  <c r="I219" i="13"/>
  <c r="I218" i="13" s="1"/>
  <c r="H219" i="13"/>
  <c r="H218" i="13" s="1"/>
  <c r="E92" i="10"/>
  <c r="E91" i="10" s="1"/>
  <c r="H70" i="13"/>
  <c r="I70" i="13"/>
  <c r="F69" i="12"/>
  <c r="C108" i="2"/>
  <c r="H233" i="14"/>
  <c r="C98" i="2"/>
  <c r="G70" i="13" l="1"/>
  <c r="G81" i="12"/>
  <c r="H81" i="12"/>
  <c r="F116" i="11"/>
  <c r="G117" i="11"/>
  <c r="H117" i="11"/>
  <c r="F117" i="11"/>
  <c r="F81" i="12" l="1"/>
  <c r="I51" i="14"/>
  <c r="J51" i="14"/>
  <c r="I39" i="14"/>
  <c r="J39" i="14"/>
  <c r="H39" i="14"/>
  <c r="H240" i="14"/>
  <c r="H239" i="14"/>
  <c r="C25" i="17"/>
  <c r="H242" i="14" l="1"/>
  <c r="H194" i="14"/>
  <c r="I142" i="14"/>
  <c r="I138" i="14" s="1"/>
  <c r="J142" i="14"/>
  <c r="J138" i="14" s="1"/>
  <c r="H131" i="14"/>
  <c r="H132" i="14"/>
  <c r="H157" i="14" l="1"/>
  <c r="I112" i="14" l="1"/>
  <c r="I111" i="14" s="1"/>
  <c r="I110" i="14" s="1"/>
  <c r="I109" i="14" s="1"/>
  <c r="J112" i="14"/>
  <c r="J111" i="14" s="1"/>
  <c r="J110" i="14" s="1"/>
  <c r="J109" i="14" s="1"/>
  <c r="H112" i="14"/>
  <c r="H111" i="14" s="1"/>
  <c r="H110" i="14" s="1"/>
  <c r="H109" i="14" s="1"/>
  <c r="I75" i="14"/>
  <c r="J75" i="14"/>
  <c r="H86" i="14"/>
  <c r="H84" i="14"/>
  <c r="H82" i="14"/>
  <c r="H80" i="14"/>
  <c r="H51" i="14" l="1"/>
  <c r="H50" i="14"/>
  <c r="F186" i="12" l="1"/>
  <c r="E58" i="10"/>
  <c r="F58" i="10"/>
  <c r="D58" i="10"/>
  <c r="H309" i="13"/>
  <c r="I309" i="13"/>
  <c r="G309" i="13"/>
  <c r="F284" i="12" l="1"/>
  <c r="H230" i="13"/>
  <c r="I230" i="13"/>
  <c r="G230" i="13"/>
  <c r="E24" i="10"/>
  <c r="F24" i="10"/>
  <c r="D24" i="10"/>
  <c r="F199" i="12"/>
  <c r="F201" i="12"/>
  <c r="F197" i="12"/>
  <c r="E74" i="10"/>
  <c r="F74" i="10"/>
  <c r="H199" i="13"/>
  <c r="I199" i="13"/>
  <c r="G195" i="12"/>
  <c r="H195" i="12"/>
  <c r="F200" i="12"/>
  <c r="G199" i="13" l="1"/>
  <c r="F195" i="12"/>
  <c r="H200" i="13" l="1"/>
  <c r="I200" i="13"/>
  <c r="G200" i="13"/>
  <c r="F190" i="12"/>
  <c r="D74" i="10"/>
  <c r="D76" i="10"/>
  <c r="F151" i="12"/>
  <c r="G152" i="13"/>
  <c r="E75" i="10"/>
  <c r="F75" i="10"/>
  <c r="H152" i="13"/>
  <c r="I152" i="13"/>
  <c r="G148" i="12"/>
  <c r="H148" i="12"/>
  <c r="F189" i="12" l="1"/>
  <c r="F148" i="12"/>
  <c r="D75" i="10" l="1"/>
  <c r="H134" i="13"/>
  <c r="I134" i="13"/>
  <c r="G134" i="13"/>
  <c r="G130" i="12"/>
  <c r="H130" i="12"/>
  <c r="F130" i="12" l="1"/>
  <c r="F56" i="12" l="1"/>
  <c r="D111" i="10" l="1"/>
  <c r="E18" i="10"/>
  <c r="E17" i="10" s="1"/>
  <c r="F18" i="10"/>
  <c r="F17" i="10" s="1"/>
  <c r="D18" i="10"/>
  <c r="D17" i="10" s="1"/>
  <c r="H211" i="13"/>
  <c r="H210" i="13" s="1"/>
  <c r="I211" i="13"/>
  <c r="I210" i="13" s="1"/>
  <c r="G211" i="13"/>
  <c r="G210" i="13" s="1"/>
  <c r="G209" i="12"/>
  <c r="H209" i="12"/>
  <c r="F209" i="12"/>
  <c r="D63" i="10"/>
  <c r="E63" i="10"/>
  <c r="F63" i="10"/>
  <c r="E62" i="10"/>
  <c r="F62" i="10"/>
  <c r="D62" i="10"/>
  <c r="G143" i="13"/>
  <c r="H143" i="13"/>
  <c r="I143" i="13"/>
  <c r="H144" i="13"/>
  <c r="I144" i="13"/>
  <c r="G144" i="13"/>
  <c r="G141" i="12"/>
  <c r="H141" i="12"/>
  <c r="F141" i="12"/>
  <c r="D68" i="10"/>
  <c r="D67" i="10"/>
  <c r="E67" i="10"/>
  <c r="F67" i="10"/>
  <c r="E68" i="10"/>
  <c r="F68" i="10"/>
  <c r="G191" i="13"/>
  <c r="H191" i="13"/>
  <c r="I191" i="13"/>
  <c r="H192" i="13"/>
  <c r="I192" i="13"/>
  <c r="G192" i="13"/>
  <c r="G189" i="12"/>
  <c r="H189" i="12"/>
  <c r="I193" i="13"/>
  <c r="I194" i="13"/>
  <c r="G193" i="13"/>
  <c r="H193" i="13"/>
  <c r="G194" i="13"/>
  <c r="H194" i="13"/>
  <c r="D61" i="10" l="1"/>
  <c r="E61" i="10"/>
  <c r="G142" i="13"/>
  <c r="I142" i="13"/>
  <c r="F61" i="10"/>
  <c r="H142" i="13"/>
  <c r="G279" i="12" l="1"/>
  <c r="H280" i="13" s="1"/>
  <c r="H279" i="12"/>
  <c r="I280" i="13" s="1"/>
  <c r="F279" i="12"/>
  <c r="G280" i="13" s="1"/>
  <c r="G204" i="11"/>
  <c r="H204" i="11"/>
  <c r="F204" i="11"/>
  <c r="G233" i="12"/>
  <c r="G232" i="12" s="1"/>
  <c r="G231" i="12" s="1"/>
  <c r="H233" i="12"/>
  <c r="I234" i="13" s="1"/>
  <c r="I233" i="13" s="1"/>
  <c r="I232" i="13" s="1"/>
  <c r="F233" i="12"/>
  <c r="G234" i="13" s="1"/>
  <c r="G233" i="13" s="1"/>
  <c r="G232" i="13" s="1"/>
  <c r="H232" i="12" l="1"/>
  <c r="H231" i="12" s="1"/>
  <c r="F232" i="12"/>
  <c r="F231" i="12" s="1"/>
  <c r="H234" i="13"/>
  <c r="H233" i="13" s="1"/>
  <c r="H232" i="13" s="1"/>
  <c r="F149" i="11" l="1"/>
  <c r="G104" i="11" l="1"/>
  <c r="H104" i="11"/>
  <c r="F104" i="11" l="1"/>
  <c r="G115" i="12" l="1"/>
  <c r="G114" i="12" s="1"/>
  <c r="G113" i="12" s="1"/>
  <c r="H115" i="12"/>
  <c r="I116" i="13" s="1"/>
  <c r="I115" i="13" s="1"/>
  <c r="I114" i="13" s="1"/>
  <c r="F115" i="12"/>
  <c r="G116" i="13" s="1"/>
  <c r="G115" i="13" s="1"/>
  <c r="G114" i="13" s="1"/>
  <c r="F101" i="11"/>
  <c r="F103" i="11"/>
  <c r="F73" i="12" l="1"/>
  <c r="F114" i="12"/>
  <c r="F113" i="12" s="1"/>
  <c r="H114" i="12"/>
  <c r="H113" i="12" s="1"/>
  <c r="H116" i="13"/>
  <c r="H115" i="13" s="1"/>
  <c r="H114" i="13" s="1"/>
  <c r="G205" i="12"/>
  <c r="H205" i="12"/>
  <c r="F205" i="12"/>
  <c r="G206" i="13" l="1"/>
  <c r="G204" i="13" s="1"/>
  <c r="G203" i="13" s="1"/>
  <c r="F203" i="12"/>
  <c r="F202" i="12" s="1"/>
  <c r="G203" i="12"/>
  <c r="G202" i="12" s="1"/>
  <c r="H203" i="12"/>
  <c r="H202" i="12" s="1"/>
  <c r="I206" i="13"/>
  <c r="H206" i="13"/>
  <c r="I204" i="13" l="1"/>
  <c r="I203" i="13" s="1"/>
  <c r="H204" i="13"/>
  <c r="H203" i="13" s="1"/>
  <c r="F82" i="11"/>
  <c r="F83" i="11"/>
  <c r="F74" i="11"/>
  <c r="F32" i="11"/>
  <c r="F30" i="11" l="1"/>
  <c r="F64" i="12"/>
  <c r="C127" i="2"/>
  <c r="C119" i="2" l="1"/>
  <c r="D119" i="2"/>
  <c r="E119" i="2"/>
  <c r="E123" i="2"/>
  <c r="C105" i="2"/>
  <c r="D96" i="2"/>
  <c r="E96" i="2"/>
  <c r="C96" i="2"/>
  <c r="J124" i="14" l="1"/>
  <c r="I124" i="14"/>
  <c r="E110" i="2" l="1"/>
  <c r="D110" i="2"/>
  <c r="D105" i="2" s="1"/>
  <c r="H256" i="14" l="1"/>
  <c r="H69" i="14"/>
  <c r="C55" i="2" l="1"/>
  <c r="F91" i="11" l="1"/>
  <c r="F285" i="12"/>
  <c r="F88" i="11" l="1"/>
  <c r="E50" i="10"/>
  <c r="E49" i="10" s="1"/>
  <c r="E48" i="10" s="1"/>
  <c r="F50" i="10"/>
  <c r="F49" i="10" s="1"/>
  <c r="F48" i="10" s="1"/>
  <c r="D50" i="10"/>
  <c r="D49" i="10" s="1"/>
  <c r="D48" i="10" s="1"/>
  <c r="H239" i="13"/>
  <c r="H238" i="13" s="1"/>
  <c r="H237" i="13" s="1"/>
  <c r="H236" i="13" s="1"/>
  <c r="H235" i="13" s="1"/>
  <c r="I239" i="13"/>
  <c r="I238" i="13" s="1"/>
  <c r="I237" i="13" s="1"/>
  <c r="I236" i="13" s="1"/>
  <c r="I235" i="13" s="1"/>
  <c r="G239" i="13"/>
  <c r="G238" i="13" s="1"/>
  <c r="G237" i="13" s="1"/>
  <c r="G236" i="13" s="1"/>
  <c r="G235" i="13" s="1"/>
  <c r="G237" i="12"/>
  <c r="G236" i="12" s="1"/>
  <c r="G235" i="12" s="1"/>
  <c r="G234" i="12" s="1"/>
  <c r="H237" i="12"/>
  <c r="H236" i="12" s="1"/>
  <c r="H235" i="12" s="1"/>
  <c r="H234" i="12" s="1"/>
  <c r="F237" i="12"/>
  <c r="F236" i="12" s="1"/>
  <c r="F235" i="12" s="1"/>
  <c r="F234" i="12" s="1"/>
  <c r="E65" i="10" l="1"/>
  <c r="E64" i="10" s="1"/>
  <c r="F65" i="10"/>
  <c r="F64" i="10" s="1"/>
  <c r="H146" i="13"/>
  <c r="H145" i="13" s="1"/>
  <c r="I146" i="13"/>
  <c r="I145" i="13" s="1"/>
  <c r="F145" i="12"/>
  <c r="G146" i="13" s="1"/>
  <c r="G145" i="13" s="1"/>
  <c r="G144" i="12"/>
  <c r="G140" i="12" s="1"/>
  <c r="H144" i="12"/>
  <c r="H140" i="12" s="1"/>
  <c r="C17" i="18"/>
  <c r="G55" i="13"/>
  <c r="H55" i="13"/>
  <c r="I55" i="13"/>
  <c r="F144" i="12" l="1"/>
  <c r="F140" i="12" s="1"/>
  <c r="D65" i="10"/>
  <c r="D64" i="10" s="1"/>
  <c r="F52" i="12"/>
  <c r="F214" i="11" l="1"/>
  <c r="G298" i="12"/>
  <c r="H298" i="12"/>
  <c r="G214" i="11"/>
  <c r="H214" i="11"/>
  <c r="G159" i="12"/>
  <c r="H160" i="13" s="1"/>
  <c r="H159" i="12"/>
  <c r="I160" i="13" s="1"/>
  <c r="G160" i="12"/>
  <c r="H161" i="13" s="1"/>
  <c r="H160" i="12"/>
  <c r="I161" i="13" s="1"/>
  <c r="F159" i="12"/>
  <c r="G160" i="13" s="1"/>
  <c r="F160" i="12"/>
  <c r="G161" i="13" s="1"/>
  <c r="G137" i="12"/>
  <c r="H138" i="13" s="1"/>
  <c r="H137" i="12"/>
  <c r="I138" i="13" s="1"/>
  <c r="F137" i="12"/>
  <c r="G138" i="13" s="1"/>
  <c r="G154" i="11"/>
  <c r="H154" i="11"/>
  <c r="F154" i="11"/>
  <c r="F298" i="12" l="1"/>
  <c r="H159" i="13"/>
  <c r="H158" i="13" s="1"/>
  <c r="I159" i="13"/>
  <c r="I158" i="13" s="1"/>
  <c r="G158" i="12"/>
  <c r="G157" i="12" s="1"/>
  <c r="G159" i="13"/>
  <c r="G158" i="13" s="1"/>
  <c r="H158" i="12"/>
  <c r="H157" i="12" s="1"/>
  <c r="F158" i="12"/>
  <c r="F157" i="12" s="1"/>
  <c r="G71" i="12"/>
  <c r="H71" i="12"/>
  <c r="F71" i="12"/>
  <c r="G65" i="12"/>
  <c r="H66" i="13" s="1"/>
  <c r="H65" i="12"/>
  <c r="I66" i="13" s="1"/>
  <c r="F65" i="12"/>
  <c r="G66" i="13" s="1"/>
  <c r="G80" i="11"/>
  <c r="H80" i="11"/>
  <c r="F80" i="11"/>
  <c r="H236" i="14" l="1"/>
  <c r="I236" i="14"/>
  <c r="J236" i="14"/>
  <c r="I135" i="14"/>
  <c r="I134" i="14" s="1"/>
  <c r="I133" i="14" s="1"/>
  <c r="I130" i="14" s="1"/>
  <c r="I129" i="14" s="1"/>
  <c r="J135" i="14"/>
  <c r="J134" i="14" s="1"/>
  <c r="J133" i="14" s="1"/>
  <c r="J130" i="14" s="1"/>
  <c r="J129" i="14" s="1"/>
  <c r="H135" i="14"/>
  <c r="H134" i="14" s="1"/>
  <c r="H133" i="14" s="1"/>
  <c r="H130" i="14" s="1"/>
  <c r="H129" i="14" s="1"/>
  <c r="E105" i="2" l="1"/>
  <c r="I150" i="14"/>
  <c r="I146" i="14" s="1"/>
  <c r="I145" i="14" s="1"/>
  <c r="J150" i="14"/>
  <c r="J146" i="14" s="1"/>
  <c r="J145" i="14" s="1"/>
  <c r="H150" i="14"/>
  <c r="H146" i="14" s="1"/>
  <c r="H145" i="14" s="1"/>
  <c r="I238" i="14"/>
  <c r="J238" i="14"/>
  <c r="H238" i="14"/>
  <c r="I102" i="14" l="1"/>
  <c r="I101" i="14" s="1"/>
  <c r="I99" i="14" s="1"/>
  <c r="I93" i="14"/>
  <c r="J93" i="14"/>
  <c r="H93" i="14"/>
  <c r="I91" i="14"/>
  <c r="J91" i="14"/>
  <c r="H91" i="14"/>
  <c r="I87" i="14"/>
  <c r="J87" i="14"/>
  <c r="H87" i="14"/>
  <c r="J102" i="14"/>
  <c r="J101" i="14" s="1"/>
  <c r="J99" i="14" s="1"/>
  <c r="H102" i="14"/>
  <c r="H101" i="14" s="1"/>
  <c r="H99" i="14" s="1"/>
  <c r="I85" i="14"/>
  <c r="J85" i="14"/>
  <c r="H85" i="14"/>
  <c r="I95" i="14"/>
  <c r="J95" i="14"/>
  <c r="I97" i="14"/>
  <c r="J97" i="14"/>
  <c r="H97" i="14"/>
  <c r="H95" i="14"/>
  <c r="I89" i="14"/>
  <c r="J89" i="14"/>
  <c r="H89" i="14"/>
  <c r="I83" i="14"/>
  <c r="J83" i="14"/>
  <c r="H83" i="14"/>
  <c r="C38" i="17" l="1"/>
  <c r="H108" i="14"/>
  <c r="I173" i="14"/>
  <c r="I171" i="14" s="1"/>
  <c r="J173" i="14"/>
  <c r="J171" i="14" s="1"/>
  <c r="H173" i="14"/>
  <c r="H171" i="14" s="1"/>
  <c r="H170" i="14" l="1"/>
  <c r="H169" i="14" s="1"/>
  <c r="H166" i="14" s="1"/>
  <c r="H165" i="14" s="1"/>
  <c r="H164" i="14" s="1"/>
  <c r="J170" i="14"/>
  <c r="J169" i="14" s="1"/>
  <c r="J166" i="14" s="1"/>
  <c r="J165" i="14" s="1"/>
  <c r="J164" i="14" s="1"/>
  <c r="I170" i="14"/>
  <c r="I169" i="14" s="1"/>
  <c r="I166" i="14" s="1"/>
  <c r="I165" i="14" s="1"/>
  <c r="I164" i="14" s="1"/>
  <c r="F96" i="12"/>
  <c r="G277" i="12"/>
  <c r="C13" i="17" l="1"/>
  <c r="E114" i="10"/>
  <c r="F114" i="10"/>
  <c r="E115" i="10"/>
  <c r="F115" i="10"/>
  <c r="E117" i="10"/>
  <c r="F117" i="10"/>
  <c r="D115" i="10"/>
  <c r="D117" i="10"/>
  <c r="D114" i="10"/>
  <c r="E112" i="10"/>
  <c r="F112" i="10"/>
  <c r="D112" i="10"/>
  <c r="E111" i="10"/>
  <c r="F111" i="10"/>
  <c r="E106" i="10"/>
  <c r="E105" i="10" s="1"/>
  <c r="F106" i="10"/>
  <c r="F105" i="10" s="1"/>
  <c r="D106" i="10"/>
  <c r="D105" i="10" s="1"/>
  <c r="D104" i="10" s="1"/>
  <c r="E103" i="10"/>
  <c r="E102" i="10" s="1"/>
  <c r="E101" i="10" s="1"/>
  <c r="F103" i="10"/>
  <c r="F102" i="10" s="1"/>
  <c r="F101" i="10" s="1"/>
  <c r="D103" i="10"/>
  <c r="D102" i="10" s="1"/>
  <c r="D101" i="10" s="1"/>
  <c r="E99" i="10"/>
  <c r="F99" i="10"/>
  <c r="E100" i="10"/>
  <c r="F100" i="10"/>
  <c r="D100" i="10"/>
  <c r="D99" i="10"/>
  <c r="G91" i="12"/>
  <c r="H91" i="12"/>
  <c r="F91" i="12"/>
  <c r="E97" i="10"/>
  <c r="E96" i="10" s="1"/>
  <c r="F97" i="10"/>
  <c r="F96" i="10" s="1"/>
  <c r="D97" i="10"/>
  <c r="D96" i="10" s="1"/>
  <c r="E90" i="10"/>
  <c r="E89" i="10" s="1"/>
  <c r="F90" i="10"/>
  <c r="F89" i="10" s="1"/>
  <c r="D90" i="10"/>
  <c r="D89" i="10" s="1"/>
  <c r="E88" i="10"/>
  <c r="F88" i="10"/>
  <c r="D88" i="10"/>
  <c r="E87" i="10"/>
  <c r="F87" i="10"/>
  <c r="D87" i="10"/>
  <c r="E86" i="10"/>
  <c r="F86" i="10"/>
  <c r="D86" i="10"/>
  <c r="E81" i="10"/>
  <c r="F81" i="10"/>
  <c r="D81" i="10"/>
  <c r="E80" i="10"/>
  <c r="F80" i="10"/>
  <c r="D80" i="10"/>
  <c r="E77" i="10"/>
  <c r="F77" i="10"/>
  <c r="D77" i="10"/>
  <c r="E76" i="10"/>
  <c r="F76" i="10"/>
  <c r="E73" i="10"/>
  <c r="F73" i="10"/>
  <c r="D73" i="10"/>
  <c r="E70" i="10"/>
  <c r="F70" i="10"/>
  <c r="E71" i="10"/>
  <c r="F71" i="10"/>
  <c r="D70" i="10"/>
  <c r="D71" i="10"/>
  <c r="E56" i="10"/>
  <c r="F56" i="10"/>
  <c r="E57" i="10"/>
  <c r="F57" i="10"/>
  <c r="E59" i="10"/>
  <c r="F59" i="10"/>
  <c r="D57" i="10"/>
  <c r="D59" i="10"/>
  <c r="D56" i="10"/>
  <c r="E53" i="10"/>
  <c r="F53" i="10"/>
  <c r="E54" i="10"/>
  <c r="F54" i="10"/>
  <c r="D54" i="10"/>
  <c r="D53" i="10"/>
  <c r="E47" i="10"/>
  <c r="E46" i="10" s="1"/>
  <c r="F47" i="10"/>
  <c r="F46" i="10" s="1"/>
  <c r="D47" i="10"/>
  <c r="D46" i="10" s="1"/>
  <c r="E44" i="10"/>
  <c r="F44" i="10"/>
  <c r="D44" i="10"/>
  <c r="E43" i="10"/>
  <c r="F43" i="10"/>
  <c r="D43" i="10"/>
  <c r="E37" i="10"/>
  <c r="F37" i="10"/>
  <c r="E38" i="10"/>
  <c r="F38" i="10"/>
  <c r="E39" i="10"/>
  <c r="F39" i="10"/>
  <c r="D38" i="10"/>
  <c r="D39" i="10"/>
  <c r="D37" i="10"/>
  <c r="E33" i="10"/>
  <c r="F33" i="10"/>
  <c r="E34" i="10"/>
  <c r="F34" i="10"/>
  <c r="D34" i="10"/>
  <c r="D33" i="10"/>
  <c r="E28" i="10"/>
  <c r="F28" i="10"/>
  <c r="E29" i="10"/>
  <c r="F29" i="10"/>
  <c r="E30" i="10"/>
  <c r="F30" i="10"/>
  <c r="E31" i="10"/>
  <c r="F31" i="10"/>
  <c r="D31" i="10"/>
  <c r="D30" i="10"/>
  <c r="D29" i="10"/>
  <c r="D28" i="10"/>
  <c r="E23" i="10"/>
  <c r="F23" i="10"/>
  <c r="E25" i="10"/>
  <c r="F25" i="10"/>
  <c r="D25" i="10"/>
  <c r="D23" i="10"/>
  <c r="E22" i="10"/>
  <c r="F22" i="10"/>
  <c r="D22" i="10"/>
  <c r="E20" i="10"/>
  <c r="F20" i="10"/>
  <c r="D20" i="10"/>
  <c r="D19" i="10" s="1"/>
  <c r="D55" i="10" l="1"/>
  <c r="D21" i="10"/>
  <c r="D16" i="10" s="1"/>
  <c r="D72" i="10"/>
  <c r="D66" i="10"/>
  <c r="F66" i="10"/>
  <c r="E66" i="10"/>
  <c r="E109" i="10"/>
  <c r="F109" i="10"/>
  <c r="D113" i="10"/>
  <c r="D98" i="10"/>
  <c r="D95" i="10" s="1"/>
  <c r="E52" i="10"/>
  <c r="F85" i="10"/>
  <c r="F84" i="10" s="1"/>
  <c r="D85" i="10"/>
  <c r="D84" i="10" s="1"/>
  <c r="D52" i="10"/>
  <c r="E85" i="10"/>
  <c r="E84" i="10" s="1"/>
  <c r="D79" i="10"/>
  <c r="D78" i="10" s="1"/>
  <c r="F79" i="10"/>
  <c r="F78" i="10" s="1"/>
  <c r="E79" i="10"/>
  <c r="E78" i="10" s="1"/>
  <c r="F72" i="10"/>
  <c r="E72" i="10"/>
  <c r="F52" i="10"/>
  <c r="F55" i="10"/>
  <c r="E55" i="10"/>
  <c r="D36" i="10"/>
  <c r="D35" i="10" s="1"/>
  <c r="F32" i="10"/>
  <c r="F36" i="10"/>
  <c r="F35" i="10" s="1"/>
  <c r="E36" i="10"/>
  <c r="E35" i="10" s="1"/>
  <c r="E27" i="10"/>
  <c r="D32" i="10"/>
  <c r="F21" i="10"/>
  <c r="D27" i="10"/>
  <c r="E32" i="10"/>
  <c r="F27" i="10"/>
  <c r="E21" i="10"/>
  <c r="H318" i="13"/>
  <c r="I318" i="13"/>
  <c r="H319" i="13"/>
  <c r="I319" i="13"/>
  <c r="G319" i="13"/>
  <c r="G318" i="13"/>
  <c r="H307" i="13"/>
  <c r="I307" i="13"/>
  <c r="H308" i="13"/>
  <c r="I308" i="13"/>
  <c r="H310" i="13"/>
  <c r="I310" i="13"/>
  <c r="G308" i="13"/>
  <c r="G310" i="13"/>
  <c r="G307" i="13"/>
  <c r="H304" i="13"/>
  <c r="I304" i="13"/>
  <c r="H305" i="13"/>
  <c r="I305" i="13"/>
  <c r="G305" i="13"/>
  <c r="G304" i="13"/>
  <c r="H294" i="13"/>
  <c r="H293" i="13" s="1"/>
  <c r="I294" i="13"/>
  <c r="I293" i="13" s="1"/>
  <c r="G294" i="13"/>
  <c r="G293" i="13" s="1"/>
  <c r="H290" i="13"/>
  <c r="I290" i="13"/>
  <c r="H291" i="13"/>
  <c r="I291" i="13"/>
  <c r="G290" i="13"/>
  <c r="G291" i="13"/>
  <c r="H284" i="13"/>
  <c r="I284" i="13"/>
  <c r="H285" i="13"/>
  <c r="I285" i="13"/>
  <c r="H286" i="13"/>
  <c r="I286" i="13"/>
  <c r="G285" i="13"/>
  <c r="G286" i="13"/>
  <c r="G284" i="13"/>
  <c r="H278" i="13"/>
  <c r="H275" i="13"/>
  <c r="H274" i="13" s="1"/>
  <c r="H273" i="13" s="1"/>
  <c r="I275" i="13"/>
  <c r="I274" i="13" s="1"/>
  <c r="I273" i="13" s="1"/>
  <c r="G275" i="13"/>
  <c r="G274" i="13" s="1"/>
  <c r="G273" i="13" s="1"/>
  <c r="H269" i="13"/>
  <c r="I269" i="13"/>
  <c r="H270" i="13"/>
  <c r="I270" i="13"/>
  <c r="H272" i="13"/>
  <c r="H271" i="13" s="1"/>
  <c r="I272" i="13"/>
  <c r="I271" i="13" s="1"/>
  <c r="G272" i="13"/>
  <c r="G271" i="13" s="1"/>
  <c r="G270" i="13"/>
  <c r="G269" i="13"/>
  <c r="H265" i="13"/>
  <c r="I265" i="13"/>
  <c r="H266" i="13"/>
  <c r="I266" i="13"/>
  <c r="G266" i="13"/>
  <c r="G265" i="13"/>
  <c r="H255" i="13"/>
  <c r="I255" i="13"/>
  <c r="H256" i="13"/>
  <c r="I256" i="13"/>
  <c r="H258" i="13"/>
  <c r="H257" i="13" s="1"/>
  <c r="I258" i="13"/>
  <c r="I257" i="13" s="1"/>
  <c r="G258" i="13"/>
  <c r="G257" i="13" s="1"/>
  <c r="G256" i="13"/>
  <c r="G255" i="13"/>
  <c r="H251" i="13"/>
  <c r="I251" i="13"/>
  <c r="H252" i="13"/>
  <c r="I252" i="13"/>
  <c r="G252" i="13"/>
  <c r="G251" i="13"/>
  <c r="F26" i="10" l="1"/>
  <c r="G306" i="13"/>
  <c r="E60" i="10"/>
  <c r="F60" i="10"/>
  <c r="D60" i="10"/>
  <c r="D51" i="10"/>
  <c r="E26" i="10"/>
  <c r="E51" i="10"/>
  <c r="F51" i="10"/>
  <c r="D26" i="10"/>
  <c r="I254" i="13"/>
  <c r="I253" i="13" s="1"/>
  <c r="I317" i="13"/>
  <c r="I316" i="13" s="1"/>
  <c r="I315" i="13" s="1"/>
  <c r="I264" i="13"/>
  <c r="I263" i="13" s="1"/>
  <c r="G317" i="13"/>
  <c r="G316" i="13" s="1"/>
  <c r="G315" i="13" s="1"/>
  <c r="G268" i="13"/>
  <c r="G267" i="13" s="1"/>
  <c r="G250" i="13"/>
  <c r="G249" i="13" s="1"/>
  <c r="I303" i="13"/>
  <c r="H254" i="13"/>
  <c r="H253" i="13" s="1"/>
  <c r="G283" i="13"/>
  <c r="G282" i="13" s="1"/>
  <c r="H303" i="13"/>
  <c r="I306" i="13"/>
  <c r="G254" i="13"/>
  <c r="G253" i="13" s="1"/>
  <c r="G264" i="13"/>
  <c r="G263" i="13" s="1"/>
  <c r="G303" i="13"/>
  <c r="I283" i="13"/>
  <c r="I282" i="13" s="1"/>
  <c r="I250" i="13"/>
  <c r="I249" i="13" s="1"/>
  <c r="H264" i="13"/>
  <c r="H263" i="13" s="1"/>
  <c r="I268" i="13"/>
  <c r="I267" i="13" s="1"/>
  <c r="H283" i="13"/>
  <c r="H282" i="13" s="1"/>
  <c r="H306" i="13"/>
  <c r="H317" i="13"/>
  <c r="H316" i="13" s="1"/>
  <c r="H315" i="13" s="1"/>
  <c r="H250" i="13"/>
  <c r="H249" i="13" s="1"/>
  <c r="H268" i="13"/>
  <c r="H267" i="13" s="1"/>
  <c r="G302" i="13" l="1"/>
  <c r="I302" i="13"/>
  <c r="H302" i="13"/>
  <c r="H244" i="13" l="1"/>
  <c r="H243" i="13" s="1"/>
  <c r="H242" i="13" s="1"/>
  <c r="I244" i="13"/>
  <c r="I243" i="13" s="1"/>
  <c r="I242" i="13" s="1"/>
  <c r="G244" i="13"/>
  <c r="G243" i="13" s="1"/>
  <c r="G242" i="13" s="1"/>
  <c r="H228" i="13"/>
  <c r="I228" i="13"/>
  <c r="H229" i="13"/>
  <c r="I229" i="13"/>
  <c r="H231" i="13"/>
  <c r="I231" i="13"/>
  <c r="G229" i="13"/>
  <c r="G231" i="13"/>
  <c r="G228" i="13"/>
  <c r="H215" i="13"/>
  <c r="I215" i="13"/>
  <c r="H216" i="13"/>
  <c r="I216" i="13"/>
  <c r="H217" i="13"/>
  <c r="I217" i="13"/>
  <c r="G216" i="13"/>
  <c r="G217" i="13"/>
  <c r="G215" i="13"/>
  <c r="H213" i="13"/>
  <c r="H212" i="13" s="1"/>
  <c r="I213" i="13"/>
  <c r="I212" i="13" s="1"/>
  <c r="G213" i="13"/>
  <c r="G212" i="13" s="1"/>
  <c r="H197" i="13"/>
  <c r="I197" i="13"/>
  <c r="H198" i="13"/>
  <c r="I198" i="13"/>
  <c r="H201" i="13"/>
  <c r="I201" i="13"/>
  <c r="H202" i="13"/>
  <c r="I202" i="13"/>
  <c r="G198" i="13"/>
  <c r="G201" i="13"/>
  <c r="G202" i="13"/>
  <c r="G197" i="13"/>
  <c r="H195" i="13"/>
  <c r="H190" i="13" s="1"/>
  <c r="I195" i="13"/>
  <c r="I190" i="13" s="1"/>
  <c r="G195" i="13"/>
  <c r="G190" i="13" s="1"/>
  <c r="H182" i="13"/>
  <c r="I182" i="13"/>
  <c r="H183" i="13"/>
  <c r="I183" i="13"/>
  <c r="H184" i="13"/>
  <c r="I184" i="13"/>
  <c r="H186" i="13"/>
  <c r="I186" i="13"/>
  <c r="H187" i="13"/>
  <c r="I187" i="13"/>
  <c r="G187" i="13"/>
  <c r="G186" i="13"/>
  <c r="G183" i="13"/>
  <c r="G184" i="13"/>
  <c r="G182" i="13"/>
  <c r="H175" i="13"/>
  <c r="I175" i="13"/>
  <c r="H170" i="13"/>
  <c r="I170" i="13"/>
  <c r="H171" i="13"/>
  <c r="I171" i="13"/>
  <c r="G171" i="13"/>
  <c r="G170" i="13"/>
  <c r="H165" i="13"/>
  <c r="I165" i="13"/>
  <c r="H166" i="13"/>
  <c r="I166" i="13"/>
  <c r="H167" i="13"/>
  <c r="I167" i="13"/>
  <c r="G166" i="13"/>
  <c r="G167" i="13"/>
  <c r="G165" i="13"/>
  <c r="H157" i="13"/>
  <c r="H156" i="13" s="1"/>
  <c r="H155" i="13" s="1"/>
  <c r="I157" i="13"/>
  <c r="I156" i="13" s="1"/>
  <c r="I155" i="13" s="1"/>
  <c r="G157" i="13"/>
  <c r="G156" i="13" s="1"/>
  <c r="G155" i="13" s="1"/>
  <c r="H150" i="13"/>
  <c r="I150" i="13"/>
  <c r="H151" i="13"/>
  <c r="I151" i="13"/>
  <c r="H153" i="13"/>
  <c r="I153" i="13"/>
  <c r="H154" i="13"/>
  <c r="I154" i="13"/>
  <c r="G151" i="13"/>
  <c r="G153" i="13"/>
  <c r="G154" i="13"/>
  <c r="G150" i="13"/>
  <c r="H132" i="13"/>
  <c r="I132" i="13"/>
  <c r="H133" i="13"/>
  <c r="I133" i="13"/>
  <c r="H135" i="13"/>
  <c r="I135" i="13"/>
  <c r="G133" i="13"/>
  <c r="G135" i="13"/>
  <c r="G132" i="13"/>
  <c r="H126" i="13"/>
  <c r="I126" i="13"/>
  <c r="G126" i="13"/>
  <c r="H113" i="13"/>
  <c r="H112" i="13" s="1"/>
  <c r="H111" i="13" s="1"/>
  <c r="H110" i="13" s="1"/>
  <c r="I113" i="13"/>
  <c r="I112" i="13" s="1"/>
  <c r="I111" i="13" s="1"/>
  <c r="I110" i="13" s="1"/>
  <c r="G113" i="13"/>
  <c r="G112" i="13" s="1"/>
  <c r="G111" i="13" s="1"/>
  <c r="G110" i="13" s="1"/>
  <c r="H103" i="13"/>
  <c r="H102" i="13" s="1"/>
  <c r="H101" i="13" s="1"/>
  <c r="H100" i="13" s="1"/>
  <c r="I103" i="13"/>
  <c r="I102" i="13" s="1"/>
  <c r="I101" i="13" s="1"/>
  <c r="I100" i="13" s="1"/>
  <c r="H107" i="13"/>
  <c r="H106" i="13" s="1"/>
  <c r="I107" i="13"/>
  <c r="I106" i="13" s="1"/>
  <c r="G107" i="13"/>
  <c r="G106" i="13" s="1"/>
  <c r="G103" i="13"/>
  <c r="G102" i="13" s="1"/>
  <c r="G101" i="13" s="1"/>
  <c r="G100" i="13" s="1"/>
  <c r="G97" i="13"/>
  <c r="G96" i="13" s="1"/>
  <c r="H91" i="13"/>
  <c r="H90" i="13" s="1"/>
  <c r="I91" i="13"/>
  <c r="I90" i="13" s="1"/>
  <c r="G91" i="13"/>
  <c r="G90" i="13" s="1"/>
  <c r="H58" i="13"/>
  <c r="I58" i="13"/>
  <c r="H59" i="13"/>
  <c r="I59" i="13"/>
  <c r="H61" i="13"/>
  <c r="I61" i="13"/>
  <c r="G58" i="13"/>
  <c r="G59" i="13"/>
  <c r="G61" i="13"/>
  <c r="H54" i="13"/>
  <c r="I54" i="13"/>
  <c r="H56" i="13"/>
  <c r="I56" i="13"/>
  <c r="G54" i="13"/>
  <c r="G56" i="13"/>
  <c r="H51" i="13"/>
  <c r="H50" i="13" s="1"/>
  <c r="H49" i="13" s="1"/>
  <c r="I51" i="13"/>
  <c r="I50" i="13" s="1"/>
  <c r="I49" i="13" s="1"/>
  <c r="G51" i="13"/>
  <c r="G50" i="13" s="1"/>
  <c r="G49" i="13" s="1"/>
  <c r="F20" i="12"/>
  <c r="G21" i="13" s="1"/>
  <c r="G20" i="13" s="1"/>
  <c r="G19" i="13" s="1"/>
  <c r="G18" i="13" s="1"/>
  <c r="H105" i="13" l="1"/>
  <c r="H104" i="13" s="1"/>
  <c r="G105" i="13"/>
  <c r="G104" i="13" s="1"/>
  <c r="I105" i="13"/>
  <c r="I104" i="13" s="1"/>
  <c r="G57" i="13"/>
  <c r="H125" i="13"/>
  <c r="H124" i="13" s="1"/>
  <c r="H123" i="13" s="1"/>
  <c r="H122" i="13" s="1"/>
  <c r="G125" i="13"/>
  <c r="G124" i="13" s="1"/>
  <c r="G123" i="13" s="1"/>
  <c r="G122" i="13" s="1"/>
  <c r="I125" i="13"/>
  <c r="I124" i="13" s="1"/>
  <c r="I123" i="13" s="1"/>
  <c r="I122" i="13" s="1"/>
  <c r="I173" i="13"/>
  <c r="I172" i="13" s="1"/>
  <c r="H173" i="13"/>
  <c r="H172" i="13" s="1"/>
  <c r="G196" i="13"/>
  <c r="G227" i="13"/>
  <c r="G226" i="13" s="1"/>
  <c r="G225" i="13" s="1"/>
  <c r="G149" i="13"/>
  <c r="G141" i="13" s="1"/>
  <c r="G131" i="13"/>
  <c r="G130" i="13" s="1"/>
  <c r="G169" i="13"/>
  <c r="G168" i="13" s="1"/>
  <c r="I185" i="13"/>
  <c r="I53" i="13"/>
  <c r="G53" i="13"/>
  <c r="H53" i="13"/>
  <c r="I169" i="13"/>
  <c r="I168" i="13" s="1"/>
  <c r="G185" i="13"/>
  <c r="G214" i="13"/>
  <c r="H57" i="13"/>
  <c r="G164" i="13"/>
  <c r="G163" i="13" s="1"/>
  <c r="H169" i="13"/>
  <c r="H168" i="13" s="1"/>
  <c r="G181" i="13"/>
  <c r="H214" i="13"/>
  <c r="H209" i="13" s="1"/>
  <c r="H208" i="13" s="1"/>
  <c r="I227" i="13"/>
  <c r="I226" i="13" s="1"/>
  <c r="I225" i="13" s="1"/>
  <c r="I57" i="13"/>
  <c r="H181" i="13"/>
  <c r="H227" i="13"/>
  <c r="H226" i="13" s="1"/>
  <c r="H225" i="13" s="1"/>
  <c r="I131" i="13"/>
  <c r="I130" i="13" s="1"/>
  <c r="H185" i="13"/>
  <c r="H196" i="13"/>
  <c r="I214" i="13"/>
  <c r="I164" i="13"/>
  <c r="I163" i="13" s="1"/>
  <c r="I181" i="13"/>
  <c r="I149" i="13"/>
  <c r="I141" i="13" s="1"/>
  <c r="H164" i="13"/>
  <c r="H163" i="13" s="1"/>
  <c r="H131" i="13"/>
  <c r="H130" i="13" s="1"/>
  <c r="H149" i="13"/>
  <c r="H141" i="13" s="1"/>
  <c r="I196" i="13"/>
  <c r="H162" i="13" l="1"/>
  <c r="I162" i="13"/>
  <c r="H207" i="13"/>
  <c r="I209" i="13"/>
  <c r="I208" i="13" s="1"/>
  <c r="G209" i="13"/>
  <c r="G208" i="13" s="1"/>
  <c r="I140" i="13"/>
  <c r="H140" i="13"/>
  <c r="G140" i="13"/>
  <c r="G180" i="13"/>
  <c r="G179" i="13" s="1"/>
  <c r="G189" i="13"/>
  <c r="G188" i="13" s="1"/>
  <c r="H52" i="13"/>
  <c r="G52" i="13"/>
  <c r="I180" i="13"/>
  <c r="I179" i="13" s="1"/>
  <c r="H189" i="13"/>
  <c r="H188" i="13" s="1"/>
  <c r="I52" i="13"/>
  <c r="I189" i="13"/>
  <c r="I188" i="13" s="1"/>
  <c r="H180" i="13"/>
  <c r="H179" i="13" s="1"/>
  <c r="G207" i="13" l="1"/>
  <c r="I207" i="13"/>
  <c r="F305" i="12"/>
  <c r="G111" i="12"/>
  <c r="H111" i="12"/>
  <c r="F111" i="12"/>
  <c r="G226" i="12"/>
  <c r="H226" i="12"/>
  <c r="F226" i="12"/>
  <c r="G213" i="12"/>
  <c r="H213" i="12"/>
  <c r="F213" i="12"/>
  <c r="G163" i="12" l="1"/>
  <c r="G162" i="12" s="1"/>
  <c r="H163" i="12"/>
  <c r="H162" i="12" s="1"/>
  <c r="F163" i="12"/>
  <c r="F162" i="12" s="1"/>
  <c r="F105" i="12"/>
  <c r="F104" i="12" s="1"/>
  <c r="G101" i="12"/>
  <c r="G100" i="12" s="1"/>
  <c r="H101" i="12"/>
  <c r="H100" i="12" s="1"/>
  <c r="F101" i="12"/>
  <c r="F100" i="12" s="1"/>
  <c r="H256" i="12" l="1"/>
  <c r="G256" i="12"/>
  <c r="F256" i="12"/>
  <c r="H253" i="12"/>
  <c r="G253" i="12"/>
  <c r="F253" i="12"/>
  <c r="H282" i="12"/>
  <c r="H281" i="12" s="1"/>
  <c r="G282" i="12"/>
  <c r="G281" i="12" s="1"/>
  <c r="F282" i="12"/>
  <c r="F281" i="12" s="1"/>
  <c r="H292" i="12"/>
  <c r="G292" i="12"/>
  <c r="F292" i="12"/>
  <c r="G270" i="12"/>
  <c r="H270" i="12"/>
  <c r="F270" i="12"/>
  <c r="H289" i="13" l="1"/>
  <c r="E42" i="10"/>
  <c r="I289" i="13"/>
  <c r="F42" i="10"/>
  <c r="G289" i="13"/>
  <c r="D42" i="10"/>
  <c r="G252" i="12"/>
  <c r="H252" i="12"/>
  <c r="F252" i="12"/>
  <c r="F41" i="10" l="1"/>
  <c r="F40" i="10" s="1"/>
  <c r="I288" i="13"/>
  <c r="I287" i="13" s="1"/>
  <c r="D41" i="10"/>
  <c r="D40" i="10" s="1"/>
  <c r="E41" i="10"/>
  <c r="E40" i="10" s="1"/>
  <c r="G288" i="13"/>
  <c r="G287" i="13" s="1"/>
  <c r="H288" i="13"/>
  <c r="H287" i="13" s="1"/>
  <c r="G184" i="12"/>
  <c r="H184" i="12"/>
  <c r="F184" i="12"/>
  <c r="G180" i="12"/>
  <c r="H180" i="12"/>
  <c r="F180" i="12"/>
  <c r="F51" i="12"/>
  <c r="G52" i="12"/>
  <c r="H52" i="12"/>
  <c r="G89" i="12"/>
  <c r="H89" i="12"/>
  <c r="F89" i="12"/>
  <c r="F88" i="12" s="1"/>
  <c r="G302" i="12"/>
  <c r="H302" i="12"/>
  <c r="F302" i="12"/>
  <c r="F168" i="12"/>
  <c r="F167" i="12" s="1"/>
  <c r="G168" i="12"/>
  <c r="H168" i="12"/>
  <c r="H179" i="12" l="1"/>
  <c r="G179" i="12"/>
  <c r="F179" i="12"/>
  <c r="F188" i="12"/>
  <c r="F187" i="12" s="1"/>
  <c r="H188" i="12"/>
  <c r="H187" i="12" s="1"/>
  <c r="G188" i="12"/>
  <c r="G187" i="12" s="1"/>
  <c r="D21" i="18" l="1"/>
  <c r="D14" i="18" s="1"/>
  <c r="E54" i="2" l="1"/>
  <c r="D54" i="2"/>
  <c r="E53" i="2"/>
  <c r="D53" i="2"/>
  <c r="E52" i="2"/>
  <c r="D52" i="2"/>
  <c r="E51" i="2"/>
  <c r="D51" i="2"/>
  <c r="E50" i="2"/>
  <c r="D50" i="2"/>
  <c r="E25" i="2" l="1"/>
  <c r="D25" i="2"/>
  <c r="C25" i="2"/>
  <c r="E24" i="2"/>
  <c r="D24" i="2"/>
  <c r="C24" i="2"/>
  <c r="E23" i="2"/>
  <c r="D23" i="2"/>
  <c r="C23" i="2"/>
  <c r="E22" i="2"/>
  <c r="D22" i="2"/>
  <c r="C22" i="2"/>
  <c r="D109" i="10" l="1"/>
  <c r="D108" i="10" s="1"/>
  <c r="D15" i="10" s="1"/>
  <c r="G175" i="13"/>
  <c r="C26" i="18"/>
  <c r="G173" i="13" l="1"/>
  <c r="G172" i="13" s="1"/>
  <c r="G162" i="13" s="1"/>
  <c r="C14" i="18"/>
  <c r="G312" i="12"/>
  <c r="H312" i="12"/>
  <c r="F228" i="11"/>
  <c r="H74" i="13"/>
  <c r="I74" i="13"/>
  <c r="G74" i="13"/>
  <c r="G102" i="11"/>
  <c r="H102" i="11"/>
  <c r="F102" i="11"/>
  <c r="G138" i="12"/>
  <c r="H138" i="12"/>
  <c r="F138" i="12"/>
  <c r="I313" i="13" l="1"/>
  <c r="H311" i="12"/>
  <c r="H310" i="12" s="1"/>
  <c r="H313" i="13"/>
  <c r="G311" i="12"/>
  <c r="G310" i="12" s="1"/>
  <c r="I139" i="13"/>
  <c r="H136" i="12"/>
  <c r="H139" i="13"/>
  <c r="G136" i="12"/>
  <c r="G139" i="13"/>
  <c r="F136" i="12"/>
  <c r="F312" i="12"/>
  <c r="G227" i="11"/>
  <c r="H227" i="11"/>
  <c r="F227" i="11"/>
  <c r="G313" i="13" l="1"/>
  <c r="F311" i="12"/>
  <c r="H312" i="13"/>
  <c r="H311" i="13" s="1"/>
  <c r="H301" i="13" s="1"/>
  <c r="H300" i="13" s="1"/>
  <c r="I312" i="13"/>
  <c r="I311" i="13" s="1"/>
  <c r="I301" i="13" s="1"/>
  <c r="I300" i="13" s="1"/>
  <c r="H137" i="13"/>
  <c r="H136" i="13" s="1"/>
  <c r="H129" i="13" s="1"/>
  <c r="H128" i="13" s="1"/>
  <c r="G137" i="13"/>
  <c r="G136" i="13" s="1"/>
  <c r="G129" i="13" s="1"/>
  <c r="G128" i="13" s="1"/>
  <c r="I137" i="13"/>
  <c r="I136" i="13" s="1"/>
  <c r="I129" i="13" s="1"/>
  <c r="I128" i="13" s="1"/>
  <c r="D123" i="2"/>
  <c r="C123" i="2"/>
  <c r="E94" i="2"/>
  <c r="D94" i="2"/>
  <c r="C94" i="2"/>
  <c r="E87" i="2"/>
  <c r="D87" i="2"/>
  <c r="C87" i="2"/>
  <c r="E84" i="2"/>
  <c r="D84" i="2"/>
  <c r="C84" i="2"/>
  <c r="E82" i="2"/>
  <c r="D82" i="2"/>
  <c r="C82" i="2"/>
  <c r="E56" i="2"/>
  <c r="E55" i="2" s="1"/>
  <c r="D56" i="2"/>
  <c r="D55" i="2" s="1"/>
  <c r="E49" i="2"/>
  <c r="D49" i="2"/>
  <c r="C49" i="2"/>
  <c r="E43" i="2"/>
  <c r="E41" i="2" s="1"/>
  <c r="D43" i="2"/>
  <c r="D41" i="2" s="1"/>
  <c r="C43" i="2"/>
  <c r="C41" i="2" s="1"/>
  <c r="E38" i="2"/>
  <c r="D38" i="2"/>
  <c r="C38" i="2"/>
  <c r="E36" i="2"/>
  <c r="D36" i="2"/>
  <c r="C36" i="2"/>
  <c r="E33" i="2"/>
  <c r="D33" i="2"/>
  <c r="C33" i="2"/>
  <c r="E27" i="2"/>
  <c r="E26" i="2" s="1"/>
  <c r="D27" i="2"/>
  <c r="D26" i="2" s="1"/>
  <c r="C27" i="2"/>
  <c r="C26" i="2" s="1"/>
  <c r="E21" i="2"/>
  <c r="D21" i="2"/>
  <c r="C21" i="2"/>
  <c r="E15" i="2"/>
  <c r="D15" i="2"/>
  <c r="C15" i="2"/>
  <c r="D81" i="2" l="1"/>
  <c r="G312" i="13"/>
  <c r="G311" i="13" s="1"/>
  <c r="G301" i="13" s="1"/>
  <c r="G300" i="13" s="1"/>
  <c r="C81" i="2"/>
  <c r="C91" i="2" s="1"/>
  <c r="C128" i="2" s="1"/>
  <c r="C92" i="2"/>
  <c r="D93" i="2"/>
  <c r="D92" i="2" s="1"/>
  <c r="E93" i="2"/>
  <c r="E92" i="2" s="1"/>
  <c r="D91" i="2"/>
  <c r="E81" i="2"/>
  <c r="E91" i="2" s="1"/>
  <c r="H31" i="11"/>
  <c r="G31" i="11"/>
  <c r="E128" i="2" l="1"/>
  <c r="E25" i="19" s="1"/>
  <c r="D128" i="2"/>
  <c r="D25" i="19" s="1"/>
  <c r="C25" i="19"/>
  <c r="H90" i="11"/>
  <c r="G90" i="11"/>
  <c r="G88" i="11" l="1"/>
  <c r="G70" i="12"/>
  <c r="H88" i="11"/>
  <c r="H70" i="12"/>
  <c r="G98" i="12"/>
  <c r="H98" i="12"/>
  <c r="F98" i="12"/>
  <c r="G99" i="13" s="1"/>
  <c r="G98" i="13" s="1"/>
  <c r="G95" i="13" s="1"/>
  <c r="H97" i="12" l="1"/>
  <c r="I99" i="13"/>
  <c r="I98" i="13" s="1"/>
  <c r="G97" i="12"/>
  <c r="H99" i="13"/>
  <c r="H98" i="13" s="1"/>
  <c r="F97" i="12"/>
  <c r="F70" i="11" l="1"/>
  <c r="G70" i="11"/>
  <c r="H70" i="11"/>
  <c r="H107" i="14" l="1"/>
  <c r="F76" i="11" l="1"/>
  <c r="C21" i="18" l="1"/>
  <c r="G120" i="12"/>
  <c r="H121" i="13" s="1"/>
  <c r="H120" i="13" s="1"/>
  <c r="H119" i="13" s="1"/>
  <c r="H118" i="13" s="1"/>
  <c r="H117" i="13" s="1"/>
  <c r="H120" i="12"/>
  <c r="I121" i="13" s="1"/>
  <c r="I120" i="13" s="1"/>
  <c r="I119" i="13" s="1"/>
  <c r="I118" i="13" s="1"/>
  <c r="I117" i="13" s="1"/>
  <c r="F120" i="12"/>
  <c r="G121" i="13" s="1"/>
  <c r="G120" i="13" s="1"/>
  <c r="G119" i="13" s="1"/>
  <c r="G118" i="13" s="1"/>
  <c r="G117" i="13" s="1"/>
  <c r="G100" i="11"/>
  <c r="H100" i="11"/>
  <c r="F100" i="11"/>
  <c r="D41" i="17" l="1"/>
  <c r="E41" i="17"/>
  <c r="C41" i="17"/>
  <c r="G323" i="12"/>
  <c r="H324" i="13" s="1"/>
  <c r="H323" i="13" s="1"/>
  <c r="H322" i="13" s="1"/>
  <c r="H321" i="13" s="1"/>
  <c r="H320" i="13" s="1"/>
  <c r="H323" i="12"/>
  <c r="I324" i="13" s="1"/>
  <c r="I323" i="13" s="1"/>
  <c r="I322" i="13" s="1"/>
  <c r="I321" i="13" s="1"/>
  <c r="I320" i="13" s="1"/>
  <c r="F323" i="12"/>
  <c r="G324" i="13" s="1"/>
  <c r="G323" i="13" s="1"/>
  <c r="G322" i="13" s="1"/>
  <c r="G321" i="13" s="1"/>
  <c r="G320" i="13" s="1"/>
  <c r="G72" i="12" l="1"/>
  <c r="H73" i="13" s="1"/>
  <c r="H72" i="12"/>
  <c r="I73" i="13" s="1"/>
  <c r="F72" i="12"/>
  <c r="G73" i="13" l="1"/>
  <c r="F68" i="12"/>
  <c r="C25" i="18"/>
  <c r="C24" i="18"/>
  <c r="C23" i="18"/>
  <c r="C22" i="18"/>
  <c r="C20" i="18"/>
  <c r="C19" i="18"/>
  <c r="C18" i="18"/>
  <c r="C16" i="18"/>
  <c r="C15" i="18"/>
  <c r="E38" i="19"/>
  <c r="D38" i="19"/>
  <c r="C38" i="19"/>
  <c r="E35" i="19"/>
  <c r="E27" i="19" s="1"/>
  <c r="D35" i="19"/>
  <c r="D27" i="19" s="1"/>
  <c r="C35" i="19"/>
  <c r="C27" i="19" s="1"/>
  <c r="E21" i="19"/>
  <c r="D21" i="19"/>
  <c r="C21" i="19"/>
  <c r="E18" i="19"/>
  <c r="D18" i="19"/>
  <c r="C18" i="19"/>
  <c r="E42" i="17"/>
  <c r="D42" i="17"/>
  <c r="E40" i="17"/>
  <c r="D40" i="17"/>
  <c r="E37" i="17"/>
  <c r="D37" i="17"/>
  <c r="C37" i="17"/>
  <c r="J270" i="14"/>
  <c r="J269" i="14" s="1"/>
  <c r="J268" i="14" s="1"/>
  <c r="I270" i="14"/>
  <c r="I269" i="14" s="1"/>
  <c r="I268" i="14" s="1"/>
  <c r="J263" i="14"/>
  <c r="I263" i="14"/>
  <c r="H263" i="14"/>
  <c r="H260" i="14"/>
  <c r="J260" i="14"/>
  <c r="I260" i="14"/>
  <c r="J254" i="14"/>
  <c r="I254" i="14"/>
  <c r="H254" i="14"/>
  <c r="H249" i="14"/>
  <c r="J249" i="14"/>
  <c r="I249" i="14"/>
  <c r="H247" i="14"/>
  <c r="J247" i="14"/>
  <c r="I247" i="14"/>
  <c r="J245" i="14"/>
  <c r="I245" i="14"/>
  <c r="H245" i="14"/>
  <c r="J243" i="14"/>
  <c r="I243" i="14"/>
  <c r="H243" i="14"/>
  <c r="J241" i="14"/>
  <c r="I241" i="14"/>
  <c r="H241" i="14"/>
  <c r="J232" i="14"/>
  <c r="J231" i="14" s="1"/>
  <c r="J230" i="14" s="1"/>
  <c r="I232" i="14"/>
  <c r="I231" i="14" s="1"/>
  <c r="I230" i="14" s="1"/>
  <c r="H232" i="14"/>
  <c r="H231" i="14" s="1"/>
  <c r="H230" i="14" s="1"/>
  <c r="J227" i="14"/>
  <c r="I227" i="14"/>
  <c r="H227" i="14"/>
  <c r="H161" i="14"/>
  <c r="J161" i="14"/>
  <c r="I161" i="14"/>
  <c r="J157" i="14"/>
  <c r="I157" i="14"/>
  <c r="J153" i="14"/>
  <c r="I153" i="14"/>
  <c r="H153" i="14"/>
  <c r="J107" i="14"/>
  <c r="J106" i="14" s="1"/>
  <c r="J105" i="14" s="1"/>
  <c r="I107" i="14"/>
  <c r="I106" i="14" s="1"/>
  <c r="I105" i="14" s="1"/>
  <c r="H106" i="14"/>
  <c r="H105" i="14" s="1"/>
  <c r="J81" i="14"/>
  <c r="I81" i="14"/>
  <c r="H81" i="14"/>
  <c r="J79" i="14"/>
  <c r="I79" i="14"/>
  <c r="H79" i="14"/>
  <c r="H77" i="14"/>
  <c r="H75" i="14" s="1"/>
  <c r="J67" i="14"/>
  <c r="J66" i="14" s="1"/>
  <c r="J65" i="14" s="1"/>
  <c r="J64" i="14" s="1"/>
  <c r="J61" i="14" s="1"/>
  <c r="J60" i="14" s="1"/>
  <c r="J58" i="14" s="1"/>
  <c r="J57" i="14" s="1"/>
  <c r="I67" i="14"/>
  <c r="I66" i="14" s="1"/>
  <c r="I65" i="14" s="1"/>
  <c r="I64" i="14" s="1"/>
  <c r="I61" i="14" s="1"/>
  <c r="I60" i="14" s="1"/>
  <c r="I58" i="14" s="1"/>
  <c r="I57" i="14" s="1"/>
  <c r="H67" i="14"/>
  <c r="H66" i="14" s="1"/>
  <c r="H65" i="14" s="1"/>
  <c r="H64" i="14" s="1"/>
  <c r="H61" i="14" s="1"/>
  <c r="H60" i="14" s="1"/>
  <c r="H58" i="14" s="1"/>
  <c r="H57" i="14" s="1"/>
  <c r="J48" i="14"/>
  <c r="I48" i="14"/>
  <c r="H48" i="14"/>
  <c r="J45" i="14"/>
  <c r="J36" i="14" s="1"/>
  <c r="J35" i="14" s="1"/>
  <c r="J34" i="14" s="1"/>
  <c r="I45" i="14"/>
  <c r="I36" i="14" s="1"/>
  <c r="I35" i="14" s="1"/>
  <c r="I34" i="14" s="1"/>
  <c r="H45" i="14"/>
  <c r="H36" i="14" s="1"/>
  <c r="H35" i="14" s="1"/>
  <c r="H34" i="14" s="1"/>
  <c r="H30" i="14" s="1"/>
  <c r="H56" i="14" l="1"/>
  <c r="H55" i="14" s="1"/>
  <c r="H54" i="14" s="1"/>
  <c r="I56" i="14"/>
  <c r="I55" i="14" s="1"/>
  <c r="I54" i="14" s="1"/>
  <c r="J56" i="14"/>
  <c r="J55" i="14" s="1"/>
  <c r="J54" i="14" s="1"/>
  <c r="I226" i="14"/>
  <c r="I225" i="14" s="1"/>
  <c r="I224" i="14" s="1"/>
  <c r="I221" i="14" s="1"/>
  <c r="I220" i="14" s="1"/>
  <c r="I219" i="14" s="1"/>
  <c r="I218" i="14" s="1"/>
  <c r="I216" i="14" s="1"/>
  <c r="I215" i="14" s="1"/>
  <c r="I214" i="14" s="1"/>
  <c r="I213" i="14" s="1"/>
  <c r="I210" i="14" s="1"/>
  <c r="I209" i="14" s="1"/>
  <c r="I208" i="14" s="1"/>
  <c r="I207" i="14" s="1"/>
  <c r="I205" i="14" s="1"/>
  <c r="I203" i="14" s="1"/>
  <c r="I202" i="14" s="1"/>
  <c r="I200" i="14" s="1"/>
  <c r="I199" i="14" s="1"/>
  <c r="I198" i="14" s="1"/>
  <c r="I189" i="14" s="1"/>
  <c r="J226" i="14"/>
  <c r="J225" i="14" s="1"/>
  <c r="J224" i="14" s="1"/>
  <c r="J221" i="14" s="1"/>
  <c r="J220" i="14" s="1"/>
  <c r="J219" i="14" s="1"/>
  <c r="J218" i="14" s="1"/>
  <c r="J216" i="14" s="1"/>
  <c r="J215" i="14" s="1"/>
  <c r="J214" i="14" s="1"/>
  <c r="J213" i="14" s="1"/>
  <c r="J210" i="14" s="1"/>
  <c r="J209" i="14" s="1"/>
  <c r="J208" i="14" s="1"/>
  <c r="J207" i="14" s="1"/>
  <c r="J205" i="14" s="1"/>
  <c r="J203" i="14" s="1"/>
  <c r="J202" i="14" s="1"/>
  <c r="J200" i="14" s="1"/>
  <c r="J199" i="14" s="1"/>
  <c r="J198" i="14" s="1"/>
  <c r="J189" i="14" s="1"/>
  <c r="H226" i="14"/>
  <c r="D39" i="17"/>
  <c r="D55" i="17" s="1"/>
  <c r="E39" i="17"/>
  <c r="E55" i="17" s="1"/>
  <c r="J187" i="14" l="1"/>
  <c r="J182" i="14" s="1"/>
  <c r="J181" i="14" s="1"/>
  <c r="J180" i="14" s="1"/>
  <c r="J179" i="14" s="1"/>
  <c r="J177" i="14" s="1"/>
  <c r="J176" i="14" s="1"/>
  <c r="J175" i="14" s="1"/>
  <c r="J168" i="14" s="1"/>
  <c r="I187" i="14"/>
  <c r="I182" i="14" s="1"/>
  <c r="I181" i="14" s="1"/>
  <c r="I180" i="14" s="1"/>
  <c r="I179" i="14" s="1"/>
  <c r="I177" i="14" s="1"/>
  <c r="I176" i="14" s="1"/>
  <c r="I175" i="14" s="1"/>
  <c r="I168" i="14" s="1"/>
  <c r="H225" i="14"/>
  <c r="H224" i="14" s="1"/>
  <c r="I186" i="14" l="1"/>
  <c r="J186" i="14"/>
  <c r="I185" i="14"/>
  <c r="I184" i="14" s="1"/>
  <c r="I149" i="14"/>
  <c r="H221" i="14"/>
  <c r="H220" i="14" s="1"/>
  <c r="H219" i="14" s="1"/>
  <c r="H218" i="14" s="1"/>
  <c r="H216" i="14" s="1"/>
  <c r="H215" i="14" s="1"/>
  <c r="H214" i="14" s="1"/>
  <c r="H213" i="14" s="1"/>
  <c r="H210" i="14" s="1"/>
  <c r="H209" i="14" s="1"/>
  <c r="H208" i="14" s="1"/>
  <c r="H207" i="14" s="1"/>
  <c r="H205" i="14" s="1"/>
  <c r="H203" i="14" s="1"/>
  <c r="H202" i="14" s="1"/>
  <c r="H200" i="14" s="1"/>
  <c r="H199" i="14" s="1"/>
  <c r="H198" i="14" s="1"/>
  <c r="H189" i="14" s="1"/>
  <c r="J185" i="14"/>
  <c r="J184" i="14" s="1"/>
  <c r="J149" i="14"/>
  <c r="J281" i="14"/>
  <c r="J280" i="14" s="1"/>
  <c r="J279" i="14" s="1"/>
  <c r="J278" i="14" s="1"/>
  <c r="I281" i="14"/>
  <c r="I280" i="14" s="1"/>
  <c r="I279" i="14" s="1"/>
  <c r="I278" i="14" s="1"/>
  <c r="H281" i="14"/>
  <c r="H280" i="14" s="1"/>
  <c r="H279" i="14" s="1"/>
  <c r="H278" i="14" s="1"/>
  <c r="J30" i="14"/>
  <c r="J29" i="14" s="1"/>
  <c r="J28" i="14" s="1"/>
  <c r="J27" i="14" s="1"/>
  <c r="J19" i="14" s="1"/>
  <c r="J18" i="14" s="1"/>
  <c r="J17" i="14" s="1"/>
  <c r="J16" i="14" s="1"/>
  <c r="I30" i="14"/>
  <c r="I29" i="14" s="1"/>
  <c r="I28" i="14" s="1"/>
  <c r="I27" i="14" s="1"/>
  <c r="H29" i="14"/>
  <c r="H28" i="14" s="1"/>
  <c r="H27" i="14" s="1"/>
  <c r="H19" i="14" s="1"/>
  <c r="H18" i="14" s="1"/>
  <c r="H17" i="14" s="1"/>
  <c r="H16" i="14" s="1"/>
  <c r="J25" i="14"/>
  <c r="J24" i="14" s="1"/>
  <c r="J23" i="14" s="1"/>
  <c r="I25" i="14"/>
  <c r="I24" i="14" s="1"/>
  <c r="I23" i="14" s="1"/>
  <c r="H25" i="14"/>
  <c r="H24" i="14" s="1"/>
  <c r="H23" i="14" s="1"/>
  <c r="I19" i="14"/>
  <c r="I18" i="14" s="1"/>
  <c r="I17" i="14" s="1"/>
  <c r="I16" i="14" s="1"/>
  <c r="H187" i="14" l="1"/>
  <c r="H182" i="14" s="1"/>
  <c r="H181" i="14" s="1"/>
  <c r="H180" i="14" s="1"/>
  <c r="H179" i="14" s="1"/>
  <c r="H177" i="14" s="1"/>
  <c r="H176" i="14" s="1"/>
  <c r="H175" i="14" s="1"/>
  <c r="H168" i="14" s="1"/>
  <c r="I274" i="14"/>
  <c r="I273" i="14" s="1"/>
  <c r="I272" i="14" s="1"/>
  <c r="I267" i="14" s="1"/>
  <c r="I266" i="14" s="1"/>
  <c r="I257" i="14" s="1"/>
  <c r="H274" i="14"/>
  <c r="H273" i="14" s="1"/>
  <c r="H272" i="14" s="1"/>
  <c r="J274" i="14"/>
  <c r="J273" i="14" s="1"/>
  <c r="J272" i="14" s="1"/>
  <c r="J267" i="14" s="1"/>
  <c r="J266" i="14" s="1"/>
  <c r="J257" i="14" s="1"/>
  <c r="J137" i="14"/>
  <c r="J128" i="14" s="1"/>
  <c r="I137" i="14"/>
  <c r="I128" i="14" s="1"/>
  <c r="H186" i="14" l="1"/>
  <c r="H270" i="14"/>
  <c r="H269" i="14" s="1"/>
  <c r="H268" i="14" s="1"/>
  <c r="H267" i="14" s="1"/>
  <c r="H266" i="14" s="1"/>
  <c r="H257" i="14" s="1"/>
  <c r="H185" i="14"/>
  <c r="H184" i="14" s="1"/>
  <c r="H149" i="14"/>
  <c r="H137" i="14" s="1"/>
  <c r="H128" i="14" s="1"/>
  <c r="J127" i="14" l="1"/>
  <c r="J123" i="14" s="1"/>
  <c r="H127" i="14"/>
  <c r="H299" i="13"/>
  <c r="H298" i="13" s="1"/>
  <c r="I299" i="13"/>
  <c r="I298" i="13" s="1"/>
  <c r="G299" i="13"/>
  <c r="G298" i="13" s="1"/>
  <c r="G296" i="12"/>
  <c r="H297" i="13" s="1"/>
  <c r="H296" i="13" s="1"/>
  <c r="H296" i="12"/>
  <c r="I297" i="13" s="1"/>
  <c r="I296" i="13" s="1"/>
  <c r="F296" i="12"/>
  <c r="G297" i="13" s="1"/>
  <c r="G296" i="13" s="1"/>
  <c r="H277" i="12"/>
  <c r="G278" i="12"/>
  <c r="H278" i="12"/>
  <c r="I279" i="13" s="1"/>
  <c r="F278" i="12"/>
  <c r="G279" i="13" s="1"/>
  <c r="F277" i="12"/>
  <c r="G260" i="12"/>
  <c r="H261" i="13" s="1"/>
  <c r="H260" i="13" s="1"/>
  <c r="H259" i="13" s="1"/>
  <c r="H248" i="13" s="1"/>
  <c r="H260" i="12"/>
  <c r="I261" i="13" s="1"/>
  <c r="I260" i="13" s="1"/>
  <c r="I259" i="13" s="1"/>
  <c r="I248" i="13" s="1"/>
  <c r="F260" i="12"/>
  <c r="G261" i="13" s="1"/>
  <c r="G260" i="13" s="1"/>
  <c r="G259" i="13" s="1"/>
  <c r="G248" i="13" s="1"/>
  <c r="G246" i="12"/>
  <c r="H247" i="13" s="1"/>
  <c r="H246" i="13" s="1"/>
  <c r="H245" i="13" s="1"/>
  <c r="H241" i="13" s="1"/>
  <c r="H246" i="12"/>
  <c r="I247" i="13" s="1"/>
  <c r="I246" i="13" s="1"/>
  <c r="I245" i="13" s="1"/>
  <c r="I241" i="13" s="1"/>
  <c r="F246" i="12"/>
  <c r="G247" i="13" s="1"/>
  <c r="G246" i="13" s="1"/>
  <c r="G245" i="13" s="1"/>
  <c r="G241" i="13" s="1"/>
  <c r="G96" i="12"/>
  <c r="H97" i="13" s="1"/>
  <c r="H96" i="13" s="1"/>
  <c r="H95" i="13" s="1"/>
  <c r="H96" i="12"/>
  <c r="I97" i="13" s="1"/>
  <c r="I96" i="13" s="1"/>
  <c r="I95" i="13" s="1"/>
  <c r="H93" i="13"/>
  <c r="I93" i="13"/>
  <c r="H94" i="13"/>
  <c r="I94" i="13"/>
  <c r="G94" i="13"/>
  <c r="G86" i="12"/>
  <c r="H87" i="13" s="1"/>
  <c r="H86" i="13" s="1"/>
  <c r="H85" i="13" s="1"/>
  <c r="H84" i="13" s="1"/>
  <c r="H86" i="12"/>
  <c r="I87" i="13" s="1"/>
  <c r="I86" i="13" s="1"/>
  <c r="I85" i="13" s="1"/>
  <c r="I84" i="13" s="1"/>
  <c r="F86" i="12"/>
  <c r="G87" i="13" s="1"/>
  <c r="G86" i="13" s="1"/>
  <c r="G85" i="13" s="1"/>
  <c r="G84" i="13" s="1"/>
  <c r="H82" i="13"/>
  <c r="H81" i="13" s="1"/>
  <c r="I82" i="13"/>
  <c r="I81" i="13" s="1"/>
  <c r="G82" i="13"/>
  <c r="G81" i="13" s="1"/>
  <c r="G79" i="12"/>
  <c r="H80" i="13" s="1"/>
  <c r="H79" i="12"/>
  <c r="I80" i="13" s="1"/>
  <c r="G78" i="12"/>
  <c r="H79" i="13" s="1"/>
  <c r="H78" i="12"/>
  <c r="I79" i="13" s="1"/>
  <c r="F78" i="12"/>
  <c r="G79" i="13" s="1"/>
  <c r="H72" i="13"/>
  <c r="I72" i="13"/>
  <c r="G72" i="13"/>
  <c r="H71" i="13"/>
  <c r="I71" i="13"/>
  <c r="G67" i="12"/>
  <c r="H68" i="13" s="1"/>
  <c r="H67" i="12"/>
  <c r="I68" i="13" s="1"/>
  <c r="F67" i="12"/>
  <c r="G68" i="13" s="1"/>
  <c r="G66" i="12"/>
  <c r="H67" i="13" s="1"/>
  <c r="H66" i="12"/>
  <c r="I67" i="13" s="1"/>
  <c r="F66" i="12"/>
  <c r="G67" i="13" s="1"/>
  <c r="H65" i="13"/>
  <c r="I65" i="13"/>
  <c r="G63" i="12"/>
  <c r="H64" i="13" s="1"/>
  <c r="H63" i="12"/>
  <c r="I64" i="13" s="1"/>
  <c r="J122" i="14" l="1"/>
  <c r="J117" i="14"/>
  <c r="J116" i="14" s="1"/>
  <c r="J115" i="14" s="1"/>
  <c r="H123" i="14"/>
  <c r="I72" i="14"/>
  <c r="I71" i="14" s="1"/>
  <c r="I70" i="14" s="1"/>
  <c r="I63" i="14" s="1"/>
  <c r="I44" i="14" s="1"/>
  <c r="I38" i="14" s="1"/>
  <c r="I69" i="13"/>
  <c r="H69" i="13"/>
  <c r="G71" i="13"/>
  <c r="G69" i="13" s="1"/>
  <c r="H279" i="13"/>
  <c r="G276" i="12"/>
  <c r="G275" i="12" s="1"/>
  <c r="G278" i="13"/>
  <c r="G277" i="13" s="1"/>
  <c r="G276" i="13" s="1"/>
  <c r="G262" i="13" s="1"/>
  <c r="F276" i="12"/>
  <c r="F275" i="12" s="1"/>
  <c r="I278" i="13"/>
  <c r="I277" i="13" s="1"/>
  <c r="I276" i="13" s="1"/>
  <c r="I262" i="13" s="1"/>
  <c r="H276" i="12"/>
  <c r="I295" i="13"/>
  <c r="I281" i="13" s="1"/>
  <c r="H78" i="13"/>
  <c r="H77" i="13" s="1"/>
  <c r="H76" i="13" s="1"/>
  <c r="H75" i="13" s="1"/>
  <c r="H295" i="13"/>
  <c r="H281" i="13" s="1"/>
  <c r="I63" i="13"/>
  <c r="H63" i="13"/>
  <c r="G295" i="13"/>
  <c r="G281" i="13" s="1"/>
  <c r="I78" i="13"/>
  <c r="I77" i="13" s="1"/>
  <c r="I76" i="13" s="1"/>
  <c r="I75" i="13" s="1"/>
  <c r="H92" i="13"/>
  <c r="H89" i="13" s="1"/>
  <c r="H88" i="13" s="1"/>
  <c r="H83" i="13" s="1"/>
  <c r="I92" i="13"/>
  <c r="I89" i="13" s="1"/>
  <c r="I88" i="13" s="1"/>
  <c r="I83" i="13" s="1"/>
  <c r="F297" i="12"/>
  <c r="G259" i="12"/>
  <c r="H259" i="12"/>
  <c r="F259" i="12"/>
  <c r="H286" i="12"/>
  <c r="F286" i="12"/>
  <c r="G286" i="12"/>
  <c r="C40" i="17"/>
  <c r="C39" i="17" s="1"/>
  <c r="C55" i="17" s="1"/>
  <c r="G42" i="12"/>
  <c r="H43" i="13" s="1"/>
  <c r="H42" i="13" s="1"/>
  <c r="H41" i="13" s="1"/>
  <c r="H40" i="13" s="1"/>
  <c r="H42" i="12"/>
  <c r="I43" i="13" s="1"/>
  <c r="I42" i="13" s="1"/>
  <c r="I41" i="13" s="1"/>
  <c r="I40" i="13" s="1"/>
  <c r="G43" i="13"/>
  <c r="G42" i="13" s="1"/>
  <c r="G41" i="13" s="1"/>
  <c r="G40" i="13" s="1"/>
  <c r="G46" i="12"/>
  <c r="H47" i="13" s="1"/>
  <c r="H46" i="13" s="1"/>
  <c r="H45" i="13" s="1"/>
  <c r="H44" i="13" s="1"/>
  <c r="H46" i="12"/>
  <c r="I47" i="13" s="1"/>
  <c r="I46" i="13" s="1"/>
  <c r="I45" i="13" s="1"/>
  <c r="I44" i="13" s="1"/>
  <c r="F46" i="12"/>
  <c r="G47" i="13" s="1"/>
  <c r="G46" i="13" s="1"/>
  <c r="G45" i="13" s="1"/>
  <c r="G44" i="13" s="1"/>
  <c r="G38" i="12"/>
  <c r="H39" i="13" s="1"/>
  <c r="H38" i="12"/>
  <c r="I39" i="13" s="1"/>
  <c r="G37" i="12"/>
  <c r="H38" i="13" s="1"/>
  <c r="H37" i="12"/>
  <c r="I38" i="13" s="1"/>
  <c r="F37" i="12"/>
  <c r="G38" i="13" s="1"/>
  <c r="G30" i="12"/>
  <c r="H31" i="13" s="1"/>
  <c r="H30" i="12"/>
  <c r="I31" i="13" s="1"/>
  <c r="G31" i="12"/>
  <c r="H32" i="13" s="1"/>
  <c r="H31" i="12"/>
  <c r="I32" i="13" s="1"/>
  <c r="G33" i="12"/>
  <c r="H34" i="13" s="1"/>
  <c r="H33" i="12"/>
  <c r="I34" i="13" s="1"/>
  <c r="F33" i="12"/>
  <c r="G34" i="13" s="1"/>
  <c r="G25" i="12"/>
  <c r="H26" i="13" s="1"/>
  <c r="H25" i="12"/>
  <c r="I26" i="13" s="1"/>
  <c r="G26" i="12"/>
  <c r="H27" i="13" s="1"/>
  <c r="H26" i="12"/>
  <c r="I27" i="13" s="1"/>
  <c r="F26" i="12"/>
  <c r="G27" i="13" s="1"/>
  <c r="G20" i="12"/>
  <c r="H21" i="13" s="1"/>
  <c r="H20" i="13" s="1"/>
  <c r="H19" i="13" s="1"/>
  <c r="H18" i="13" s="1"/>
  <c r="H20" i="12"/>
  <c r="I21" i="13" s="1"/>
  <c r="I20" i="13" s="1"/>
  <c r="I19" i="13" s="1"/>
  <c r="I18" i="13" s="1"/>
  <c r="H322" i="12"/>
  <c r="H321" i="12" s="1"/>
  <c r="H320" i="12" s="1"/>
  <c r="H319" i="12" s="1"/>
  <c r="G322" i="12"/>
  <c r="G321" i="12" s="1"/>
  <c r="G320" i="12" s="1"/>
  <c r="G319" i="12" s="1"/>
  <c r="F322" i="12"/>
  <c r="F321" i="12" s="1"/>
  <c r="F320" i="12" s="1"/>
  <c r="F319" i="12" s="1"/>
  <c r="H297" i="12"/>
  <c r="G297" i="12"/>
  <c r="H295" i="12"/>
  <c r="G295" i="12"/>
  <c r="F295" i="12"/>
  <c r="H273" i="12"/>
  <c r="H272" i="12" s="1"/>
  <c r="G273" i="12"/>
  <c r="G272" i="12" s="1"/>
  <c r="H245" i="12"/>
  <c r="H244" i="12" s="1"/>
  <c r="G245" i="12"/>
  <c r="G244" i="12" s="1"/>
  <c r="F245" i="12"/>
  <c r="F244" i="12" s="1"/>
  <c r="H242" i="12"/>
  <c r="H241" i="12" s="1"/>
  <c r="G242" i="12"/>
  <c r="G241" i="12" s="1"/>
  <c r="F242" i="12"/>
  <c r="F241" i="12" s="1"/>
  <c r="H171" i="12"/>
  <c r="G171" i="12"/>
  <c r="F171" i="12"/>
  <c r="F161" i="12" s="1"/>
  <c r="F155" i="12"/>
  <c r="F154" i="12" s="1"/>
  <c r="F139" i="12" s="1"/>
  <c r="H155" i="12"/>
  <c r="H154" i="12" s="1"/>
  <c r="G155" i="12"/>
  <c r="G154" i="12" s="1"/>
  <c r="H135" i="12"/>
  <c r="G135" i="12"/>
  <c r="F135" i="12"/>
  <c r="H123" i="12"/>
  <c r="G123" i="12"/>
  <c r="F123" i="12"/>
  <c r="H119" i="12"/>
  <c r="H118" i="12" s="1"/>
  <c r="H117" i="12" s="1"/>
  <c r="H116" i="12" s="1"/>
  <c r="G119" i="12"/>
  <c r="G118" i="12" s="1"/>
  <c r="G117" i="12" s="1"/>
  <c r="G116" i="12" s="1"/>
  <c r="F119" i="12"/>
  <c r="F118" i="12" s="1"/>
  <c r="F117" i="12" s="1"/>
  <c r="F116" i="12" s="1"/>
  <c r="H105" i="12"/>
  <c r="G105" i="12"/>
  <c r="H95" i="12"/>
  <c r="H94" i="12" s="1"/>
  <c r="G95" i="12"/>
  <c r="G94" i="12" s="1"/>
  <c r="F95" i="12"/>
  <c r="F94" i="12" s="1"/>
  <c r="G88" i="12"/>
  <c r="H85" i="12"/>
  <c r="H84" i="12" s="1"/>
  <c r="H83" i="12" s="1"/>
  <c r="G85" i="12"/>
  <c r="G84" i="12" s="1"/>
  <c r="G83" i="12" s="1"/>
  <c r="F85" i="12"/>
  <c r="F84" i="12" s="1"/>
  <c r="F83" i="12" s="1"/>
  <c r="G80" i="12"/>
  <c r="F80" i="12"/>
  <c r="H80" i="12"/>
  <c r="G68" i="12"/>
  <c r="H51" i="12"/>
  <c r="G51" i="12"/>
  <c r="H49" i="12"/>
  <c r="H48" i="12" s="1"/>
  <c r="G49" i="12"/>
  <c r="G48" i="12" s="1"/>
  <c r="F49" i="12"/>
  <c r="F48" i="12" s="1"/>
  <c r="J72" i="14" l="1"/>
  <c r="J71" i="14" s="1"/>
  <c r="J70" i="14" s="1"/>
  <c r="J63" i="14" s="1"/>
  <c r="J44" i="14" s="1"/>
  <c r="J38" i="14" s="1"/>
  <c r="J114" i="14"/>
  <c r="I33" i="14"/>
  <c r="I15" i="14" s="1"/>
  <c r="H122" i="14"/>
  <c r="H117" i="14" s="1"/>
  <c r="H116" i="14" s="1"/>
  <c r="H115" i="14" s="1"/>
  <c r="G104" i="12"/>
  <c r="G103" i="12" s="1"/>
  <c r="H104" i="12"/>
  <c r="H103" i="12" s="1"/>
  <c r="H277" i="13"/>
  <c r="H276" i="13" s="1"/>
  <c r="H262" i="13" s="1"/>
  <c r="H240" i="13" s="1"/>
  <c r="I240" i="13"/>
  <c r="I62" i="13"/>
  <c r="I48" i="13" s="1"/>
  <c r="H62" i="13"/>
  <c r="H48" i="13" s="1"/>
  <c r="G240" i="13"/>
  <c r="I30" i="13"/>
  <c r="I29" i="13" s="1"/>
  <c r="I28" i="13" s="1"/>
  <c r="H37" i="13"/>
  <c r="H36" i="13" s="1"/>
  <c r="H35" i="13" s="1"/>
  <c r="H30" i="13"/>
  <c r="H29" i="13" s="1"/>
  <c r="H28" i="13" s="1"/>
  <c r="I37" i="13"/>
  <c r="I36" i="13" s="1"/>
  <c r="I35" i="13" s="1"/>
  <c r="F240" i="12"/>
  <c r="H45" i="12"/>
  <c r="H44" i="12" s="1"/>
  <c r="H43" i="12" s="1"/>
  <c r="F45" i="12"/>
  <c r="F44" i="12" s="1"/>
  <c r="F43" i="12" s="1"/>
  <c r="G19" i="12"/>
  <c r="G18" i="12" s="1"/>
  <c r="G17" i="12" s="1"/>
  <c r="G41" i="12"/>
  <c r="G40" i="12" s="1"/>
  <c r="G39" i="12" s="1"/>
  <c r="G45" i="12"/>
  <c r="G44" i="12" s="1"/>
  <c r="G43" i="12" s="1"/>
  <c r="H19" i="12"/>
  <c r="H18" i="12" s="1"/>
  <c r="H17" i="12" s="1"/>
  <c r="F19" i="12"/>
  <c r="F18" i="12" s="1"/>
  <c r="F17" i="12" s="1"/>
  <c r="H29" i="12"/>
  <c r="H28" i="12" s="1"/>
  <c r="H27" i="12" s="1"/>
  <c r="F41" i="12"/>
  <c r="F40" i="12" s="1"/>
  <c r="F39" i="12" s="1"/>
  <c r="H41" i="12"/>
  <c r="H40" i="12" s="1"/>
  <c r="H39" i="12" s="1"/>
  <c r="H294" i="12"/>
  <c r="H280" i="12" s="1"/>
  <c r="H110" i="12"/>
  <c r="H109" i="12" s="1"/>
  <c r="G29" i="12"/>
  <c r="G28" i="12" s="1"/>
  <c r="G27" i="12" s="1"/>
  <c r="G99" i="12"/>
  <c r="G211" i="12"/>
  <c r="G208" i="12" s="1"/>
  <c r="H263" i="12"/>
  <c r="H262" i="12" s="1"/>
  <c r="F267" i="12"/>
  <c r="F266" i="12" s="1"/>
  <c r="F316" i="12"/>
  <c r="F315" i="12" s="1"/>
  <c r="F314" i="12" s="1"/>
  <c r="H258" i="12"/>
  <c r="F294" i="12"/>
  <c r="F280" i="12" s="1"/>
  <c r="H316" i="12"/>
  <c r="H315" i="12" s="1"/>
  <c r="H314" i="12" s="1"/>
  <c r="H88" i="12"/>
  <c r="H139" i="12"/>
  <c r="H99" i="12"/>
  <c r="H211" i="12"/>
  <c r="H208" i="12" s="1"/>
  <c r="H240" i="12"/>
  <c r="G249" i="12"/>
  <c r="G248" i="12" s="1"/>
  <c r="F263" i="12"/>
  <c r="F262" i="12" s="1"/>
  <c r="H267" i="12"/>
  <c r="H266" i="12" s="1"/>
  <c r="G167" i="12"/>
  <c r="G161" i="12" s="1"/>
  <c r="H167" i="12"/>
  <c r="H161" i="12" s="1"/>
  <c r="H249" i="12"/>
  <c r="H248" i="12" s="1"/>
  <c r="G122" i="12"/>
  <c r="G121" i="12" s="1"/>
  <c r="G225" i="12"/>
  <c r="G224" i="12" s="1"/>
  <c r="G62" i="12"/>
  <c r="G61" i="12" s="1"/>
  <c r="G139" i="12"/>
  <c r="H225" i="12"/>
  <c r="H224" i="12" s="1"/>
  <c r="F110" i="12"/>
  <c r="F109" i="12" s="1"/>
  <c r="G110" i="12"/>
  <c r="G109" i="12" s="1"/>
  <c r="H122" i="12"/>
  <c r="H121" i="12" s="1"/>
  <c r="F258" i="12"/>
  <c r="G294" i="12"/>
  <c r="G280" i="12" s="1"/>
  <c r="F310" i="12"/>
  <c r="G316" i="12"/>
  <c r="G315" i="12" s="1"/>
  <c r="G314" i="12" s="1"/>
  <c r="G240" i="12"/>
  <c r="H62" i="12"/>
  <c r="H68" i="12"/>
  <c r="G77" i="12"/>
  <c r="G76" i="12" s="1"/>
  <c r="H77" i="12"/>
  <c r="H76" i="12" s="1"/>
  <c r="G258" i="12"/>
  <c r="H275" i="12"/>
  <c r="H305" i="12"/>
  <c r="H301" i="12" s="1"/>
  <c r="G305" i="12"/>
  <c r="G301" i="12" s="1"/>
  <c r="G36" i="12"/>
  <c r="G35" i="12" s="1"/>
  <c r="G34" i="12" s="1"/>
  <c r="H36" i="12"/>
  <c r="H35" i="12" s="1"/>
  <c r="H34" i="12" s="1"/>
  <c r="F122" i="12"/>
  <c r="F121" i="12" s="1"/>
  <c r="G263" i="12"/>
  <c r="G262" i="12" s="1"/>
  <c r="G267" i="12"/>
  <c r="G266" i="12" s="1"/>
  <c r="F273" i="12"/>
  <c r="F272" i="12" s="1"/>
  <c r="F249" i="12"/>
  <c r="F248" i="12" s="1"/>
  <c r="J33" i="14" l="1"/>
  <c r="J15" i="14" s="1"/>
  <c r="I291" i="14"/>
  <c r="I290" i="14" s="1"/>
  <c r="I289" i="14" s="1"/>
  <c r="I288" i="14" s="1"/>
  <c r="I286" i="14" s="1"/>
  <c r="I285" i="14" s="1"/>
  <c r="I284" i="14" s="1"/>
  <c r="I283" i="14" s="1"/>
  <c r="I277" i="14" s="1"/>
  <c r="I253" i="14" s="1"/>
  <c r="I252" i="14" s="1"/>
  <c r="I251" i="14" s="1"/>
  <c r="I235" i="14" s="1"/>
  <c r="I234" i="14" s="1"/>
  <c r="I223" i="14" s="1"/>
  <c r="H72" i="14"/>
  <c r="H71" i="14" s="1"/>
  <c r="H70" i="14" s="1"/>
  <c r="H63" i="14" s="1"/>
  <c r="H44" i="14" s="1"/>
  <c r="H38" i="14" s="1"/>
  <c r="H114" i="14"/>
  <c r="F247" i="12"/>
  <c r="F261" i="12"/>
  <c r="H247" i="12"/>
  <c r="G247" i="12"/>
  <c r="H261" i="12"/>
  <c r="G178" i="12"/>
  <c r="G300" i="12"/>
  <c r="G299" i="12" s="1"/>
  <c r="H300" i="12"/>
  <c r="H299" i="12" s="1"/>
  <c r="H75" i="12"/>
  <c r="H74" i="12" s="1"/>
  <c r="G75" i="12"/>
  <c r="G74" i="12" s="1"/>
  <c r="G47" i="12"/>
  <c r="G261" i="12"/>
  <c r="H61" i="12"/>
  <c r="H47" i="12" s="1"/>
  <c r="H178" i="12"/>
  <c r="I127" i="14" l="1"/>
  <c r="I123" i="14" s="1"/>
  <c r="I122" i="14" s="1"/>
  <c r="I117" i="14" s="1"/>
  <c r="I116" i="14" s="1"/>
  <c r="I115" i="14" s="1"/>
  <c r="I114" i="14" s="1"/>
  <c r="I212" i="14"/>
  <c r="I197" i="14" s="1"/>
  <c r="I196" i="14" s="1"/>
  <c r="I195" i="14" s="1"/>
  <c r="H33" i="14"/>
  <c r="H15" i="14" s="1"/>
  <c r="G207" i="12"/>
  <c r="G206" i="12" s="1"/>
  <c r="H207" i="12"/>
  <c r="H206" i="12" s="1"/>
  <c r="F239" i="12"/>
  <c r="H239" i="12"/>
  <c r="G239" i="12"/>
  <c r="I14" i="14" l="1"/>
  <c r="I13" i="14" s="1"/>
  <c r="G49" i="11"/>
  <c r="G48" i="11" s="1"/>
  <c r="G47" i="11" s="1"/>
  <c r="H49" i="11"/>
  <c r="H48" i="11" s="1"/>
  <c r="H47" i="11" s="1"/>
  <c r="F50" i="11"/>
  <c r="F79" i="12"/>
  <c r="G80" i="13" s="1"/>
  <c r="G78" i="13" s="1"/>
  <c r="G77" i="13" s="1"/>
  <c r="G76" i="13" s="1"/>
  <c r="G75" i="13" s="1"/>
  <c r="G65" i="13"/>
  <c r="F49" i="11" l="1"/>
  <c r="F63" i="12"/>
  <c r="F77" i="12"/>
  <c r="F76" i="12" s="1"/>
  <c r="F75" i="12" s="1"/>
  <c r="F74" i="12" s="1"/>
  <c r="F38" i="12"/>
  <c r="G39" i="13" s="1"/>
  <c r="G37" i="13" s="1"/>
  <c r="G36" i="13" s="1"/>
  <c r="G35" i="13" s="1"/>
  <c r="F31" i="12"/>
  <c r="G32" i="13" s="1"/>
  <c r="F30" i="12"/>
  <c r="H24" i="12"/>
  <c r="I25" i="13" s="1"/>
  <c r="I24" i="13" s="1"/>
  <c r="I23" i="13" s="1"/>
  <c r="I22" i="13" s="1"/>
  <c r="I17" i="13" s="1"/>
  <c r="I16" i="13" s="1"/>
  <c r="G24" i="12"/>
  <c r="H25" i="13" s="1"/>
  <c r="H24" i="13" s="1"/>
  <c r="H23" i="13" s="1"/>
  <c r="H22" i="13" s="1"/>
  <c r="H17" i="13" s="1"/>
  <c r="H16" i="13" s="1"/>
  <c r="F25" i="12"/>
  <c r="G26" i="13" s="1"/>
  <c r="F24" i="12"/>
  <c r="G25" i="13" s="1"/>
  <c r="F48" i="11" l="1"/>
  <c r="G31" i="13"/>
  <c r="G30" i="13" s="1"/>
  <c r="G29" i="13" s="1"/>
  <c r="G28" i="13" s="1"/>
  <c r="F29" i="12"/>
  <c r="F28" i="12" s="1"/>
  <c r="F27" i="12" s="1"/>
  <c r="G64" i="13"/>
  <c r="G63" i="13" s="1"/>
  <c r="G62" i="13" s="1"/>
  <c r="G48" i="13" s="1"/>
  <c r="F62" i="12"/>
  <c r="F61" i="12" s="1"/>
  <c r="G24" i="13"/>
  <c r="G23" i="13" s="1"/>
  <c r="G22" i="13" s="1"/>
  <c r="F23" i="12"/>
  <c r="F22" i="12" s="1"/>
  <c r="F21" i="12" s="1"/>
  <c r="G23" i="12"/>
  <c r="G22" i="12" s="1"/>
  <c r="G21" i="12" s="1"/>
  <c r="G16" i="12" s="1"/>
  <c r="F36" i="12"/>
  <c r="F35" i="12" s="1"/>
  <c r="F34" i="12" s="1"/>
  <c r="H23" i="12"/>
  <c r="H22" i="12" s="1"/>
  <c r="H21" i="12" s="1"/>
  <c r="H16" i="12" s="1"/>
  <c r="H235" i="11"/>
  <c r="G235" i="11"/>
  <c r="F235" i="11"/>
  <c r="H233" i="11"/>
  <c r="H232" i="11" s="1"/>
  <c r="H231" i="11" s="1"/>
  <c r="H230" i="11" s="1"/>
  <c r="H229" i="11" s="1"/>
  <c r="G233" i="11"/>
  <c r="F233" i="11"/>
  <c r="H223" i="11"/>
  <c r="G223" i="11"/>
  <c r="H216" i="11"/>
  <c r="H213" i="11" s="1"/>
  <c r="G216" i="11"/>
  <c r="G213" i="11" s="1"/>
  <c r="F216" i="11"/>
  <c r="H211" i="11"/>
  <c r="H210" i="11" s="1"/>
  <c r="G211" i="11"/>
  <c r="G210" i="11" s="1"/>
  <c r="F211" i="11"/>
  <c r="H203" i="11"/>
  <c r="H202" i="11" s="1"/>
  <c r="H201" i="11" s="1"/>
  <c r="G203" i="11"/>
  <c r="G202" i="11" s="1"/>
  <c r="G201" i="11" s="1"/>
  <c r="F199" i="11"/>
  <c r="H199" i="11"/>
  <c r="G199" i="11"/>
  <c r="H197" i="11"/>
  <c r="G197" i="11"/>
  <c r="F197" i="11"/>
  <c r="F192" i="11"/>
  <c r="H192" i="11"/>
  <c r="H191" i="11" s="1"/>
  <c r="H190" i="11" s="1"/>
  <c r="H189" i="11" s="1"/>
  <c r="G192" i="11"/>
  <c r="G191" i="11" s="1"/>
  <c r="G190" i="11" s="1"/>
  <c r="G189" i="11" s="1"/>
  <c r="H186" i="11"/>
  <c r="H185" i="11" s="1"/>
  <c r="H184" i="11" s="1"/>
  <c r="H183" i="11" s="1"/>
  <c r="H177" i="11" s="1"/>
  <c r="G186" i="11"/>
  <c r="G185" i="11" s="1"/>
  <c r="G184" i="11" s="1"/>
  <c r="G183" i="11" s="1"/>
  <c r="G177" i="11" s="1"/>
  <c r="F186" i="11"/>
  <c r="F173" i="11"/>
  <c r="H173" i="11"/>
  <c r="H172" i="11" s="1"/>
  <c r="H171" i="11" s="1"/>
  <c r="G173" i="11"/>
  <c r="G172" i="11" s="1"/>
  <c r="G171" i="11" s="1"/>
  <c r="H169" i="11"/>
  <c r="H166" i="11" s="1"/>
  <c r="H165" i="11" s="1"/>
  <c r="H164" i="11" s="1"/>
  <c r="G169" i="11"/>
  <c r="G166" i="11" s="1"/>
  <c r="G165" i="11" s="1"/>
  <c r="G164" i="11" s="1"/>
  <c r="F169" i="11"/>
  <c r="F160" i="11"/>
  <c r="H160" i="11"/>
  <c r="H159" i="11" s="1"/>
  <c r="H158" i="11" s="1"/>
  <c r="H157" i="11" s="1"/>
  <c r="G160" i="11"/>
  <c r="G159" i="11" s="1"/>
  <c r="G158" i="11" s="1"/>
  <c r="G157" i="11" s="1"/>
  <c r="F153" i="11"/>
  <c r="H153" i="11"/>
  <c r="H152" i="11" s="1"/>
  <c r="H151" i="11" s="1"/>
  <c r="G153" i="11"/>
  <c r="G152" i="11" s="1"/>
  <c r="G151" i="11" s="1"/>
  <c r="H148" i="11"/>
  <c r="H147" i="11" s="1"/>
  <c r="H146" i="11" s="1"/>
  <c r="H145" i="11" s="1"/>
  <c r="G148" i="11"/>
  <c r="G147" i="11" s="1"/>
  <c r="G146" i="11" s="1"/>
  <c r="G145" i="11" s="1"/>
  <c r="F148" i="11"/>
  <c r="F143" i="11"/>
  <c r="H142" i="11"/>
  <c r="H141" i="11" s="1"/>
  <c r="H140" i="11" s="1"/>
  <c r="H139" i="11" s="1"/>
  <c r="G142" i="11"/>
  <c r="G141" i="11" s="1"/>
  <c r="G140" i="11" s="1"/>
  <c r="G139" i="11" s="1"/>
  <c r="H136" i="11"/>
  <c r="H135" i="11" s="1"/>
  <c r="H134" i="11" s="1"/>
  <c r="H133" i="11" s="1"/>
  <c r="G136" i="11"/>
  <c r="G135" i="11" s="1"/>
  <c r="G134" i="11" s="1"/>
  <c r="G133" i="11" s="1"/>
  <c r="F136" i="11"/>
  <c r="H131" i="11"/>
  <c r="H130" i="11" s="1"/>
  <c r="G131" i="11"/>
  <c r="G130" i="11" s="1"/>
  <c r="F131" i="11"/>
  <c r="F128" i="11"/>
  <c r="H128" i="11"/>
  <c r="H127" i="11" s="1"/>
  <c r="G128" i="11"/>
  <c r="G127" i="11" s="1"/>
  <c r="H123" i="11"/>
  <c r="H122" i="11" s="1"/>
  <c r="H121" i="11" s="1"/>
  <c r="H120" i="11" s="1"/>
  <c r="G123" i="11"/>
  <c r="G122" i="11" s="1"/>
  <c r="G121" i="11" s="1"/>
  <c r="G120" i="11" s="1"/>
  <c r="F123" i="11"/>
  <c r="F115" i="11"/>
  <c r="H115" i="11"/>
  <c r="H114" i="11" s="1"/>
  <c r="G115" i="11"/>
  <c r="G114" i="11" s="1"/>
  <c r="H110" i="11"/>
  <c r="H109" i="11" s="1"/>
  <c r="F98" i="11"/>
  <c r="H98" i="11"/>
  <c r="G98" i="11"/>
  <c r="F96" i="11"/>
  <c r="H96" i="11"/>
  <c r="G96" i="11"/>
  <c r="H94" i="11"/>
  <c r="G94" i="11"/>
  <c r="F94" i="11"/>
  <c r="H76" i="11"/>
  <c r="F72" i="11"/>
  <c r="G67" i="11"/>
  <c r="H67" i="11"/>
  <c r="F67" i="11"/>
  <c r="F57" i="11"/>
  <c r="H57" i="11"/>
  <c r="H56" i="11" s="1"/>
  <c r="H55" i="11" s="1"/>
  <c r="H54" i="11" s="1"/>
  <c r="G57" i="11"/>
  <c r="G56" i="11" s="1"/>
  <c r="G55" i="11" s="1"/>
  <c r="G54" i="11" s="1"/>
  <c r="F44" i="11"/>
  <c r="H44" i="11"/>
  <c r="G44" i="11"/>
  <c r="F40" i="11"/>
  <c r="G40" i="11"/>
  <c r="H40" i="11"/>
  <c r="H38" i="11"/>
  <c r="G38" i="11"/>
  <c r="F38" i="11"/>
  <c r="H30" i="11"/>
  <c r="H29" i="11" s="1"/>
  <c r="H28" i="11" s="1"/>
  <c r="H27" i="11" s="1"/>
  <c r="G30" i="11"/>
  <c r="G29" i="11" s="1"/>
  <c r="G28" i="11" s="1"/>
  <c r="G27" i="11" s="1"/>
  <c r="F29" i="11"/>
  <c r="G23" i="11"/>
  <c r="G22" i="11" s="1"/>
  <c r="G21" i="11" s="1"/>
  <c r="G20" i="11" s="1"/>
  <c r="F23" i="11"/>
  <c r="F18" i="11"/>
  <c r="H18" i="11"/>
  <c r="H17" i="11" s="1"/>
  <c r="H16" i="11" s="1"/>
  <c r="H15" i="11" s="1"/>
  <c r="G18" i="11"/>
  <c r="G17" i="11" s="1"/>
  <c r="G16" i="11" s="1"/>
  <c r="G15" i="11" s="1"/>
  <c r="F22" i="11" l="1"/>
  <c r="F127" i="11"/>
  <c r="F135" i="11"/>
  <c r="F172" i="11"/>
  <c r="F130" i="11"/>
  <c r="F142" i="11"/>
  <c r="F185" i="11"/>
  <c r="F28" i="11"/>
  <c r="F114" i="11"/>
  <c r="F147" i="11"/>
  <c r="F159" i="11"/>
  <c r="F191" i="11"/>
  <c r="F213" i="11"/>
  <c r="F17" i="11"/>
  <c r="F84" i="11"/>
  <c r="F122" i="11"/>
  <c r="F152" i="11"/>
  <c r="F210" i="11"/>
  <c r="F47" i="11"/>
  <c r="H84" i="11"/>
  <c r="F166" i="11"/>
  <c r="G84" i="11"/>
  <c r="F56" i="11"/>
  <c r="G232" i="11"/>
  <c r="G231" i="11" s="1"/>
  <c r="G230" i="11" s="1"/>
  <c r="G229" i="11" s="1"/>
  <c r="H126" i="11"/>
  <c r="H125" i="11" s="1"/>
  <c r="H119" i="11" s="1"/>
  <c r="G17" i="13"/>
  <c r="G196" i="11"/>
  <c r="G195" i="11" s="1"/>
  <c r="G194" i="11" s="1"/>
  <c r="H222" i="11"/>
  <c r="H221" i="11" s="1"/>
  <c r="H220" i="11" s="1"/>
  <c r="H219" i="11" s="1"/>
  <c r="G222" i="11"/>
  <c r="G221" i="11" s="1"/>
  <c r="G220" i="11" s="1"/>
  <c r="G219" i="11" s="1"/>
  <c r="G138" i="11"/>
  <c r="H87" i="12"/>
  <c r="H82" i="12" s="1"/>
  <c r="F103" i="12"/>
  <c r="F301" i="12"/>
  <c r="F300" i="12" s="1"/>
  <c r="F299" i="12" s="1"/>
  <c r="F178" i="12"/>
  <c r="G87" i="12"/>
  <c r="G82" i="12" s="1"/>
  <c r="F47" i="12"/>
  <c r="F16" i="12" s="1"/>
  <c r="H209" i="11"/>
  <c r="H208" i="11" s="1"/>
  <c r="F209" i="11"/>
  <c r="H108" i="11"/>
  <c r="H107" i="11" s="1"/>
  <c r="H106" i="11" s="1"/>
  <c r="G150" i="11"/>
  <c r="H196" i="11"/>
  <c r="H195" i="11" s="1"/>
  <c r="H194" i="11" s="1"/>
  <c r="H188" i="11" s="1"/>
  <c r="F232" i="11"/>
  <c r="G126" i="11"/>
  <c r="G125" i="11" s="1"/>
  <c r="G119" i="11" s="1"/>
  <c r="G209" i="11"/>
  <c r="G208" i="11" s="1"/>
  <c r="F223" i="11"/>
  <c r="G37" i="11"/>
  <c r="G36" i="11" s="1"/>
  <c r="G35" i="11" s="1"/>
  <c r="H23" i="11"/>
  <c r="H22" i="11" s="1"/>
  <c r="H21" i="11" s="1"/>
  <c r="H20" i="11" s="1"/>
  <c r="G72" i="11"/>
  <c r="H72" i="11"/>
  <c r="H61" i="11" s="1"/>
  <c r="G76" i="11"/>
  <c r="F110" i="11"/>
  <c r="G110" i="11"/>
  <c r="G109" i="11" s="1"/>
  <c r="G108" i="11" s="1"/>
  <c r="G107" i="11" s="1"/>
  <c r="G106" i="11" s="1"/>
  <c r="F196" i="11"/>
  <c r="F61" i="11"/>
  <c r="F203" i="11"/>
  <c r="H138" i="11"/>
  <c r="F37" i="11"/>
  <c r="F126" i="11"/>
  <c r="H150" i="11"/>
  <c r="H37" i="11"/>
  <c r="H36" i="11" s="1"/>
  <c r="H35" i="11" s="1"/>
  <c r="F113" i="10"/>
  <c r="F108" i="10" s="1"/>
  <c r="E113" i="10"/>
  <c r="E108" i="10" s="1"/>
  <c r="F104" i="10"/>
  <c r="E104" i="10"/>
  <c r="F98" i="10"/>
  <c r="F95" i="10" s="1"/>
  <c r="E98" i="10"/>
  <c r="E95" i="10" s="1"/>
  <c r="F19" i="10"/>
  <c r="F16" i="10" s="1"/>
  <c r="E19" i="10"/>
  <c r="E16" i="10" s="1"/>
  <c r="F165" i="11" l="1"/>
  <c r="F164" i="11"/>
  <c r="F125" i="11"/>
  <c r="F231" i="11"/>
  <c r="F208" i="11"/>
  <c r="F121" i="11"/>
  <c r="F16" i="11"/>
  <c r="F190" i="11"/>
  <c r="F146" i="11"/>
  <c r="F27" i="11"/>
  <c r="F141" i="11"/>
  <c r="F171" i="11"/>
  <c r="F202" i="11"/>
  <c r="F36" i="11"/>
  <c r="F195" i="11"/>
  <c r="F109" i="11"/>
  <c r="F151" i="11"/>
  <c r="F158" i="11"/>
  <c r="F184" i="11"/>
  <c r="F134" i="11"/>
  <c r="F21" i="11"/>
  <c r="F55" i="11"/>
  <c r="G188" i="11"/>
  <c r="E15" i="10"/>
  <c r="F15" i="10"/>
  <c r="F222" i="11"/>
  <c r="F211" i="12"/>
  <c r="F208" i="12" s="1"/>
  <c r="F207" i="12" s="1"/>
  <c r="G61" i="11"/>
  <c r="G60" i="11" s="1"/>
  <c r="G59" i="11" s="1"/>
  <c r="F60" i="11"/>
  <c r="H60" i="11"/>
  <c r="H59" i="11" s="1"/>
  <c r="F221" i="11" l="1"/>
  <c r="F133" i="11"/>
  <c r="F157" i="11"/>
  <c r="F108" i="11"/>
  <c r="F35" i="11"/>
  <c r="F189" i="11"/>
  <c r="F120" i="11"/>
  <c r="F230" i="11"/>
  <c r="F59" i="11"/>
  <c r="F20" i="11"/>
  <c r="F183" i="11"/>
  <c r="F194" i="11"/>
  <c r="F201" i="11"/>
  <c r="F140" i="11"/>
  <c r="F145" i="11"/>
  <c r="F15" i="11"/>
  <c r="F54" i="11"/>
  <c r="G14" i="11"/>
  <c r="H14" i="11"/>
  <c r="H129" i="12"/>
  <c r="H128" i="12" s="1"/>
  <c r="H127" i="12" s="1"/>
  <c r="H15" i="12" s="1"/>
  <c r="F99" i="12"/>
  <c r="F225" i="12"/>
  <c r="F129" i="12"/>
  <c r="F128" i="12" s="1"/>
  <c r="G129" i="12"/>
  <c r="G128" i="12" s="1"/>
  <c r="F150" i="11" l="1"/>
  <c r="F139" i="11"/>
  <c r="F220" i="11"/>
  <c r="F119" i="11"/>
  <c r="F177" i="11"/>
  <c r="F229" i="11"/>
  <c r="F188" i="11"/>
  <c r="F107" i="11"/>
  <c r="F14" i="11"/>
  <c r="G13" i="11"/>
  <c r="H13" i="11"/>
  <c r="F224" i="12"/>
  <c r="F206" i="12" s="1"/>
  <c r="F127" i="12"/>
  <c r="G127" i="12"/>
  <c r="G15" i="12" s="1"/>
  <c r="F106" i="11" l="1"/>
  <c r="F138" i="11"/>
  <c r="F219" i="11"/>
  <c r="D26" i="19"/>
  <c r="F13" i="11" l="1"/>
  <c r="D24" i="19"/>
  <c r="D14" i="19" s="1"/>
  <c r="F87" i="12" l="1"/>
  <c r="F82" i="12" s="1"/>
  <c r="F15" i="12" s="1"/>
  <c r="G93" i="13"/>
  <c r="G92" i="13" s="1"/>
  <c r="G89" i="13" s="1"/>
  <c r="G88" i="13" s="1"/>
  <c r="G83" i="13" s="1"/>
  <c r="G16" i="13" s="1"/>
  <c r="H197" i="14" l="1"/>
  <c r="H196" i="14"/>
  <c r="H195" i="14"/>
  <c r="H235" i="14"/>
  <c r="H234" i="14" s="1"/>
  <c r="H223" i="14" s="1"/>
  <c r="H253" i="14"/>
  <c r="H252" i="14" s="1"/>
  <c r="H251" i="14" s="1"/>
  <c r="H286" i="14"/>
  <c r="H285" i="14" s="1"/>
  <c r="H284" i="14" s="1"/>
  <c r="H283" i="14" s="1"/>
  <c r="H291" i="14"/>
  <c r="H290" i="14" s="1"/>
  <c r="H289" i="14" s="1"/>
  <c r="H288" i="14" s="1"/>
  <c r="J197" i="14"/>
  <c r="J196" i="14"/>
  <c r="J195" i="14" s="1"/>
  <c r="J235" i="14"/>
  <c r="J234" i="14" s="1"/>
  <c r="J223" i="14" s="1"/>
  <c r="J253" i="14"/>
  <c r="J252" i="14" s="1"/>
  <c r="J251" i="14" s="1"/>
  <c r="J286" i="14"/>
  <c r="J285" i="14"/>
  <c r="J284" i="14" s="1"/>
  <c r="J283" i="14" s="1"/>
  <c r="J291" i="14"/>
  <c r="J290" i="14" s="1"/>
  <c r="J289" i="14" s="1"/>
  <c r="J288" i="14" s="1"/>
  <c r="J277" i="14" l="1"/>
  <c r="J212" i="14"/>
  <c r="H212" i="14"/>
  <c r="H14" i="14" s="1"/>
  <c r="H13" i="14" s="1"/>
  <c r="J14" i="14"/>
  <c r="J13" i="14" s="1"/>
  <c r="E26" i="19" s="1"/>
  <c r="E24" i="19" s="1"/>
  <c r="E14" i="19" s="1"/>
  <c r="H277" i="14"/>
  <c r="C26" i="19" l="1"/>
  <c r="C24" i="19" s="1"/>
  <c r="C14" i="19" s="1"/>
</calcChain>
</file>

<file path=xl/sharedStrings.xml><?xml version="1.0" encoding="utf-8"?>
<sst xmlns="http://schemas.openxmlformats.org/spreadsheetml/2006/main" count="5619" uniqueCount="701">
  <si>
    <t>701</t>
  </si>
  <si>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</si>
  <si>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</si>
  <si>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</si>
  <si>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</si>
  <si>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</si>
  <si>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</si>
  <si>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</si>
  <si>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</si>
  <si>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</si>
  <si>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</si>
  <si>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</si>
  <si>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</si>
  <si>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</si>
  <si>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</si>
  <si>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</si>
  <si>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</si>
  <si>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</si>
  <si>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</si>
  <si>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</si>
  <si>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</si>
  <si>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</si>
  <si>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</si>
  <si>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</si>
  <si>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</si>
  <si>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</si>
  <si>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</si>
  <si>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</si>
  <si>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</si>
  <si>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</si>
  <si>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</si>
  <si>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</si>
  <si>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</si>
  <si>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НАЛОГИ НА ТОВАРЫ (РАБОТЫ, УСЛУГИ), РЕАЛИЗУЕМЫЕ НА ТЕРРИТОРИИ РОССИЙСКОЙ ФЕДЕРАЦИИ</t>
  </si>
  <si>
    <t xml:space="preserve">100 1 03 02231 01 0000 110
</t>
  </si>
  <si>
    <t xml:space="preserve">100 1 03 02241 01 0000 110
</t>
  </si>
  <si>
    <t xml:space="preserve">100 1 03 02251 01 0000 110
</t>
  </si>
  <si>
    <t xml:space="preserve">100 1 03 02261 01 0000 110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</si>
  <si>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</si>
  <si>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</si>
  <si>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</si>
  <si>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</si>
  <si>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</si>
  <si>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</si>
  <si>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</si>
  <si>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</si>
  <si>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</si>
  <si>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</si>
  <si>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</si>
  <si>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</si>
  <si>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</si>
  <si>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</si>
  <si>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</si>
  <si>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</si>
  <si>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</si>
  <si>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</si>
  <si>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</si>
  <si>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</si>
  <si>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</si>
  <si>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</si>
  <si>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</si>
  <si>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</si>
  <si>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</si>
  <si>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</si>
  <si>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</si>
  <si>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</si>
  <si>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</si>
  <si>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</si>
  <si>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</si>
  <si>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</si>
  <si>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</si>
  <si>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</si>
  <si>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</si>
  <si>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</si>
  <si>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</si>
  <si>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</si>
  <si>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</si>
  <si>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</si>
  <si>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</si>
  <si>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</si>
  <si>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</si>
  <si>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</si>
  <si>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</si>
  <si>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</si>
  <si>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</si>
  <si>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</si>
  <si>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</si>
  <si>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</si>
  <si>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</si>
  <si>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</si>
  <si>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</si>
  <si>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</si>
  <si>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</si>
  <si>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</si>
  <si>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</si>
  <si>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</si>
  <si>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</si>
  <si>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</si>
  <si>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</si>
  <si>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</si>
  <si>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</si>
  <si>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</si>
  <si>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</si>
  <si>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</si>
  <si>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</si>
  <si>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</si>
  <si>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</si>
  <si>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</si>
  <si>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</si>
  <si>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</si>
  <si>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</si>
  <si>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</si>
  <si>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</si>
  <si>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</si>
  <si>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</si>
  <si>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</si>
  <si>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</si>
  <si>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</si>
  <si>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</si>
  <si>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</si>
  <si>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</si>
  <si>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</si>
  <si>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</si>
  <si>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</si>
  <si>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</si>
  <si>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</si>
  <si>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</si>
  <si>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</si>
  <si>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</si>
  <si>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</si>
  <si>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</si>
  <si>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</si>
  <si>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</si>
  <si>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</si>
  <si>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</si>
  <si>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</si>
  <si>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</si>
  <si>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</si>
  <si>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</si>
  <si>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</si>
  <si>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</si>
  <si>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</si>
  <si>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</si>
  <si>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701 2 07 00000 00 0000 180</t>
  </si>
  <si>
    <t>Прочие безвозмездные поступления</t>
  </si>
  <si>
    <t>701 2 07 05030 05 0000 180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</si>
  <si>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</si>
  <si>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</si>
  <si>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</si>
  <si>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</si>
  <si>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</si>
  <si>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</si>
  <si>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</si>
  <si>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</si>
  <si>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</si>
  <si>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</si>
  <si>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</si>
  <si>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</si>
  <si>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</si>
  <si>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</si>
  <si>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</si>
  <si>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</si>
  <si>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</si>
  <si>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</si>
  <si>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</si>
  <si>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</si>
  <si>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</si>
  <si>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</si>
  <si>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</si>
  <si>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</si>
  <si>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</si>
  <si>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</si>
  <si>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</si>
  <si>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</si>
  <si>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 xml:space="preserve">Развитие культуры Ленского района 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</si>
  <si>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</si>
  <si>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</si>
  <si>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</si>
  <si>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100</t>
  </si>
  <si>
    <t>800</t>
  </si>
  <si>
    <t>Развитие транспортного комплекса муниципального образования  «Ленский район»</t>
  </si>
  <si>
    <t>200</t>
  </si>
  <si>
    <t>Социальная поддержка граждан Ленского района</t>
  </si>
  <si>
    <t>300</t>
  </si>
  <si>
    <t>Обеспечение качественным жильем и повышение качества жилищно-коммунальных услуг в Ленском районе</t>
  </si>
  <si>
    <t>400</t>
  </si>
  <si>
    <t>Управление муниципальной собственностью МО "Ленский район" РС (Я)</t>
  </si>
  <si>
    <t>Капитальные вложения в объекты государственной (муниципальной) собственности</t>
  </si>
  <si>
    <t>Развитие физической культуры и спорта в Ленском районе</t>
  </si>
  <si>
    <t>Профилактика правонарушений в Ленском районе</t>
  </si>
  <si>
    <t>Охрана окружающей среды и природных ресурсов в Ленском районе</t>
  </si>
  <si>
    <t>Приложение № 6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</si>
  <si>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</si>
  <si>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</si>
  <si>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</si>
  <si>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</si>
  <si>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</si>
  <si>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</si>
  <si>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</si>
  <si>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</si>
  <si>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</si>
  <si>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</si>
  <si>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</si>
  <si>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</si>
  <si>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</si>
  <si>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</si>
  <si>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</si>
  <si>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</si>
  <si>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</si>
  <si>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</si>
  <si>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</si>
  <si>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</si>
  <si>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</si>
  <si>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</si>
  <si>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</si>
  <si>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</si>
  <si>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</si>
  <si>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</si>
  <si>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</si>
  <si>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</si>
  <si>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</si>
  <si>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</si>
  <si>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</si>
  <si>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</si>
  <si>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</si>
  <si>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</si>
  <si>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</si>
  <si>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</si>
  <si>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</si>
  <si>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</si>
  <si>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</si>
  <si>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</si>
  <si>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</si>
  <si>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</si>
  <si>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</si>
  <si>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</si>
  <si>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</si>
  <si>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</si>
  <si>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</si>
  <si>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</si>
  <si>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</si>
  <si>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</si>
  <si>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</si>
  <si>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</si>
  <si>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</si>
  <si>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</si>
  <si>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</si>
  <si>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</si>
  <si>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</si>
  <si>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</si>
  <si>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</si>
  <si>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</si>
  <si>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</si>
  <si>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</si>
  <si>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</si>
  <si>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</si>
  <si>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</si>
  <si>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</si>
  <si>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</si>
  <si>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</si>
  <si>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</si>
  <si>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</si>
  <si>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</si>
  <si>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</si>
  <si>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</si>
  <si>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</si>
  <si>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</si>
  <si>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</si>
  <si>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</si>
  <si>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</si>
  <si>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</si>
  <si>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</si>
  <si>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</si>
  <si>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</si>
  <si>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</si>
  <si>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</si>
  <si>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</si>
  <si>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</si>
  <si>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</si>
  <si>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t>Приложение № 7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</si>
  <si>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</si>
  <si>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</si>
  <si>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</si>
  <si>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</si>
  <si>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</si>
  <si>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</si>
  <si>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</si>
  <si>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</si>
  <si>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</si>
  <si>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</si>
  <si>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</si>
  <si>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 xml:space="preserve">Развитие образования в Ленском районе  </t>
  </si>
  <si>
    <t>Другие вопросы в области культуры, кинематографии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</si>
  <si>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</si>
  <si>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</si>
  <si>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</si>
  <si>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</si>
  <si>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t>Вед.</t>
  </si>
  <si>
    <t>Приложение № 9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</si>
  <si>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</si>
  <si>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</si>
  <si>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</si>
  <si>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</si>
  <si>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</si>
  <si>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</si>
  <si>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</si>
  <si>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</si>
  <si>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</si>
  <si>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</si>
  <si>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</si>
  <si>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</si>
  <si>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</si>
  <si>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опеке и попечительству в отношении несовершеннолетних</t>
  </si>
  <si>
    <t>Дотация на выравнивание бюджетной обеспеченности субъектов Российской Федерации и муниципальных образований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</si>
  <si>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</si>
  <si>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</si>
  <si>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</si>
  <si>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</si>
  <si>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Выполнение отдельных государственных полномочий по созданию административных комиссий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</si>
  <si>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</si>
  <si>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</si>
  <si>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</si>
  <si>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</si>
  <si>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Организация отдыха детей в каникулярное время (за счет средств ГБ)</t>
  </si>
  <si>
    <t>Реализация мероприятий по обеспечению жильем молодых семей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</si>
  <si>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</si>
  <si>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</si>
  <si>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</si>
  <si>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9950063420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</si>
  <si>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</si>
  <si>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</si>
  <si>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</si>
  <si>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Выполнение  отдельных государственных полномочий в области охраны труда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</si>
  <si>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</si>
  <si>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</si>
  <si>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</si>
  <si>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</si>
  <si>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</si>
  <si>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</si>
  <si>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</si>
  <si>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</si>
  <si>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</si>
  <si>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</si>
  <si>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</si>
  <si>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</si>
  <si>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</si>
  <si>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</si>
  <si>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</si>
  <si>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</si>
  <si>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</si>
  <si>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</si>
  <si>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</si>
  <si>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</si>
  <si>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</si>
  <si>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</si>
  <si>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</si>
  <si>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</si>
  <si>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</si>
  <si>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</si>
  <si>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</si>
  <si>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</si>
  <si>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</si>
  <si>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</si>
  <si>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</si>
  <si>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</si>
  <si>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</si>
  <si>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</si>
  <si>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</si>
  <si>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</si>
  <si>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</si>
  <si>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</si>
  <si>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</si>
  <si>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</si>
  <si>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</si>
  <si>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</si>
  <si>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</si>
  <si>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</si>
  <si>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</si>
  <si>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</si>
  <si>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</si>
  <si>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</si>
  <si>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</si>
  <si>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</si>
  <si>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</si>
  <si>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</si>
  <si>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</si>
  <si>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</si>
  <si>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</si>
  <si>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</si>
  <si>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</si>
  <si>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</si>
  <si>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</si>
  <si>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</si>
  <si>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</si>
  <si>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</si>
  <si>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</si>
  <si>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</si>
  <si>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</si>
  <si>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</si>
  <si>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</si>
  <si>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</si>
  <si>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</si>
  <si>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</si>
  <si>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</si>
  <si>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</si>
  <si>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</si>
  <si>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</si>
  <si>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</si>
  <si>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</si>
  <si>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</si>
  <si>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</si>
  <si>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</si>
  <si>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</si>
  <si>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</si>
  <si>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</si>
  <si>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</si>
  <si>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</si>
  <si>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</si>
  <si>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</si>
  <si>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</si>
  <si>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</si>
  <si>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Дом культуры в поселке Витим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</si>
  <si>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</si>
  <si>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</si>
  <si>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>Приложение № 2</t>
  </si>
  <si>
    <t>Приложение № 4</t>
  </si>
  <si>
    <t>Приложение № 5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</si>
  <si>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</si>
  <si>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</si>
  <si>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</si>
  <si>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</si>
  <si>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</si>
  <si>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</si>
  <si>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</si>
  <si>
    <t>Сумма на 2025 год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</si>
  <si>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2023 год и плановый период 2024 и 2025 годов 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</si>
  <si>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2023 год и плановый период 2024 и 2025 годов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</si>
  <si>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2023 год и плановый период  2024 и  2025 годов
</t>
    </r>
    <r>
      <rPr>
        <sz val="12"/>
        <rFont val="Arial"/>
        <family val="2"/>
        <charset val="204"/>
      </rPr>
      <t xml:space="preserve">(без федеральных и республиканских средств)
</t>
    </r>
  </si>
  <si>
    <t xml:space="preserve">Источники финансирования дефицита бюджета муниципального образования "Ленский район" на 2023 год и плановый период 2024 и 2025 годов  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</si>
  <si>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2023 год и на плановый период 2024 и 2025 годов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</si>
  <si>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2023 год и плановый период 2024 и 2025 годов
</t>
    </r>
    <r>
      <rPr>
        <sz val="12"/>
        <rFont val="Arial"/>
        <family val="2"/>
        <charset val="204"/>
      </rPr>
      <t>(без федеральных и республиканских средств)</t>
    </r>
    <r>
      <rPr>
        <b/>
        <sz val="12"/>
        <rFont val="Arial"/>
        <family val="2"/>
        <charset val="204"/>
      </rPr>
      <t xml:space="preserve">
</t>
    </r>
  </si>
  <si>
    <t xml:space="preserve">Ведомственная структура расходов  бюджета муниципального образования "Ленский район" на 2023 год и плановый период на 2024 и 2025 годов 
(без федеральных и республиканских средств)
</t>
  </si>
  <si>
    <t>100 1 03 00000 00 0000 000</t>
  </si>
  <si>
    <t>182 1 06 06033 05 0000 110</t>
  </si>
  <si>
    <t>182 1 06 06043 05 0000 110</t>
  </si>
  <si>
    <t>182 1 08 03010 01 0000 110</t>
  </si>
  <si>
    <t>701 1 08 07150 01 0000 110</t>
  </si>
  <si>
    <t>701 1 14 06013 05 0000 430</t>
  </si>
  <si>
    <t>701 2 02 15000 00 0000 150</t>
  </si>
  <si>
    <t>701 2 02 20000 00 0000 150</t>
  </si>
  <si>
    <t>701 2 02 29999 05 6201 150</t>
  </si>
  <si>
    <t>701 2 18 05010 05 0000 150</t>
  </si>
  <si>
    <t>701 2 02 15002 05 0000 150</t>
  </si>
  <si>
    <t>Дотации бюджетам муниципальных районов на поддержку мер по обеспечению сбалансированности бюджетов</t>
  </si>
  <si>
    <t>701 2 02 30024 05 6302 150</t>
  </si>
  <si>
    <t>701 2 02 30024 05 6335 150</t>
  </si>
  <si>
    <t>701 2 02 30024 05 6303 150</t>
  </si>
  <si>
    <t>701 2 02 30024 05 6325 150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</si>
  <si>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</si>
  <si>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701 2 18 60010 05 0000 150</t>
  </si>
  <si>
    <t xml:space="preserve">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</si>
  <si>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701 2 19 60010 05 0000 150</t>
  </si>
  <si>
    <t>Строительство объекта :"Общественный центр в с. Батамай" , РС(Я), Ленский район, с. Батамай, ул. Центральная, 3.</t>
  </si>
  <si>
    <t>ДОХОДЫ ОТ ОКАЗАНИЯ ПЛАТНЫХ УСЛУГ И КОМПЕНСАЦИИ ЗАТРАТ ГОСУДАРСТВА</t>
  </si>
  <si>
    <t xml:space="preserve">Молодежная политика </t>
  </si>
  <si>
    <t>000 1 12 0000000 0000 000</t>
  </si>
  <si>
    <t>000 1 13 00000 00 0000 000</t>
  </si>
  <si>
    <t>Единая субвенция бюджетам муниципальных районов из Государственного бюджета Республики Саха (Якутия)</t>
  </si>
  <si>
    <t>701 2 02 36900 05 0000 150</t>
  </si>
  <si>
    <t xml:space="preserve"> Субвенции бюджетам муниципальных районов на выполнение отдельных государственных полномочий по исполнению ОМСУ МР переданных государственных полномочий по выравниванию бюджетной обеспеченности поселений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</si>
  <si>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</si>
  <si>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</si>
  <si>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>2.</t>
  </si>
  <si>
    <t>Предоставление дотации на выравнивание бюджетной обеспеченности муниципальных образований (за счет средств ГБ)</t>
  </si>
  <si>
    <t>Комплексы процессных мероприятий</t>
  </si>
  <si>
    <t>5800000000</t>
  </si>
  <si>
    <t>5840000000</t>
  </si>
  <si>
    <t>5830000000</t>
  </si>
  <si>
    <t>Ведомственные проекты</t>
  </si>
  <si>
    <t>5400000000</t>
  </si>
  <si>
    <t>5430000000</t>
  </si>
  <si>
    <t>5700000000</t>
  </si>
  <si>
    <t>5730000000</t>
  </si>
  <si>
    <t>5740000000</t>
  </si>
  <si>
    <t>6800000000</t>
  </si>
  <si>
    <t>6830000000</t>
  </si>
  <si>
    <t>6700000000</t>
  </si>
  <si>
    <t>6730000000</t>
  </si>
  <si>
    <t>6740000000</t>
  </si>
  <si>
    <t>7300000000</t>
  </si>
  <si>
    <t>7330000000</t>
  </si>
  <si>
    <t>7340000000</t>
  </si>
  <si>
    <t>6000000000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</si>
  <si>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</si>
  <si>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</si>
  <si>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</si>
  <si>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</si>
  <si>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'Комплексы процессных мероприятий</t>
  </si>
  <si>
    <t>5500000000</t>
  </si>
  <si>
    <t>5540000000</t>
  </si>
  <si>
    <t>5530000000</t>
  </si>
  <si>
    <t>6100000000</t>
  </si>
  <si>
    <t>6130000000</t>
  </si>
  <si>
    <t>6140000000</t>
  </si>
  <si>
    <t>6030000000</t>
  </si>
  <si>
    <t>5000000000</t>
  </si>
  <si>
    <t>5040000000</t>
  </si>
  <si>
    <t>5030000000</t>
  </si>
  <si>
    <t>3.</t>
  </si>
  <si>
    <t>3.1.</t>
  </si>
  <si>
    <t>9930010010</t>
  </si>
  <si>
    <t>Проведение выборов и референдумов депутатов</t>
  </si>
  <si>
    <t>9950069260</t>
  </si>
  <si>
    <t>9950069300</t>
  </si>
  <si>
    <t>9950069330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</si>
  <si>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</si>
  <si>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9950069320</t>
  </si>
  <si>
    <t>Выполнение отдельных государственных полномочий по предоставлению ежемесячной компенсационной выплаты на содержание детей-сирот и детей, оставшихся без попечения родителей и находящихся под опекой (попечительством) и в приемных семьях, ежемесячного денежного вознаграждения приемному родителю, патронатному воспитателю по договору о передаче ребенка на воспитание в приемную, патронатную семью.</t>
  </si>
  <si>
    <t>9950069401</t>
  </si>
  <si>
    <t>9950069404</t>
  </si>
  <si>
    <t>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</si>
  <si>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на предоставление детям-сиротам и детям, оставшимся без попечения родителей, воспитывающимся в государственных учреждениях Республики Саха (Якутия),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</si>
  <si>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9950069406</t>
  </si>
  <si>
    <t>9950069010</t>
  </si>
  <si>
    <t>9950069110</t>
  </si>
  <si>
    <t>9950069290</t>
  </si>
  <si>
    <t>9950069310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</si>
  <si>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</si>
  <si>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</si>
  <si>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</si>
  <si>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</si>
  <si>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</si>
  <si>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</si>
  <si>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</si>
  <si>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</t>
  </si>
  <si>
    <t xml:space="preserve"> 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</si>
  <si>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701 2 02 30024 05 6345 150</t>
  </si>
  <si>
    <t xml:space="preserve">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</si>
  <si>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701 2 02 30024 05 6346 150</t>
  </si>
  <si>
    <t xml:space="preserve">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</si>
  <si>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</si>
  <si>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КРС)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</si>
  <si>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лошадей)</t>
  </si>
  <si>
    <t>Субвенция на 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</si>
  <si>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5840463350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</si>
  <si>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</si>
  <si>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5840400000</t>
  </si>
  <si>
    <t>Предоставление субвенций из государственного  бюджета местным бюджетам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</si>
  <si>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</si>
  <si>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5840463020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</si>
  <si>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</si>
  <si>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5840463030</t>
  </si>
  <si>
    <t>701 2 02 30024 05 6337 150</t>
  </si>
  <si>
    <t>Субвенция на 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</si>
  <si>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на выполнение отдельных государственных полномочий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учреждений</t>
  </si>
  <si>
    <t>5840463480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</si>
  <si>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</si>
  <si>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701 2 02 30024 05 6347 150</t>
  </si>
  <si>
    <t>701 2 02 30024 05 6348 150</t>
  </si>
  <si>
    <t>701 2 02 30029 05 6305 150</t>
  </si>
  <si>
    <t>Субвенции на выплаты 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</si>
  <si>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5840463050</t>
  </si>
  <si>
    <t>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</si>
  <si>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701 2 02 35303 05 0000 150</t>
  </si>
  <si>
    <t xml:space="preserve">  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адаптированнеы основные образовательные программы</t>
  </si>
  <si>
    <t>5840453030</t>
  </si>
  <si>
    <t>701 2 02 25304 05 0000 150</t>
  </si>
  <si>
    <t xml:space="preserve">   Субсидия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организациях.</t>
  </si>
  <si>
    <t>5040069380</t>
  </si>
  <si>
    <t>5840300000</t>
  </si>
  <si>
    <t>Предоставление целевых субсидий государственным учреждением (за исключением субсидий, предоставляемых в рамках проектной деятельности)</t>
  </si>
  <si>
    <t>58403L3040</t>
  </si>
  <si>
    <t>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</si>
  <si>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5840662010</t>
  </si>
  <si>
    <t>701 2 02 25750 05 0000 150</t>
  </si>
  <si>
    <t xml:space="preserve"> Субсидии бюджетам муниципальных районов на реализацию мероприятий по модернизации школьных систем образования</t>
  </si>
  <si>
    <t>Региональные проекты, не входящие в национальные проекты</t>
  </si>
  <si>
    <t>5820000000</t>
  </si>
  <si>
    <t>5820100000</t>
  </si>
  <si>
    <t>Реализация иных федеральных проектов</t>
  </si>
  <si>
    <t>Реализация мероприятий по модернизации школьных систем образования</t>
  </si>
  <si>
    <t>58201L7500</t>
  </si>
  <si>
    <t>Оказание услуг по полному сопровождению всех разделов ПСД объекта "Физкультурно-оздоровительный комплекс с плавательным бассейном и хоккейным кортом в г.Ленске Ленского улуса РС (Я)" в ходе прохождения государственной экспертизы в ГАУ "Управление Госэкспертизы РС (Я)" с устранением недостатков в процессе проведения экспертизы в установленные сроки, а также получение положительного заключения от ГАУ "Управление Госэкспертизы РС (Я)"</t>
  </si>
  <si>
    <t>Выполнение работ по актуализации ПСД в соответствии с выявленными  ГАУ "Управление Госэкспертизы РС (Я)" недостатками в ПСД и результатов инженерных изысканий объекта "Физкультурно-оздоровительный комплекс с плавательным бассейном и хоккейным кортом в г.Ленске Ленского улуса РС (Я)"</t>
  </si>
  <si>
    <t xml:space="preserve">Развитие здравоохранения в Ленском районе </t>
  </si>
  <si>
    <t>5600000000</t>
  </si>
  <si>
    <t>5630000000</t>
  </si>
  <si>
    <t xml:space="preserve">   Прочие доходы от компенсации затрат бюджетов муниципальных районов</t>
  </si>
  <si>
    <t>701 1 13 02995 05 0000 130</t>
  </si>
  <si>
    <t>Субсидии бюджетам муниципальных районов на реализацию мероприятий по обеспечению жильем молодых семей</t>
  </si>
  <si>
    <t>Субсидия на техническое оснащение региональных и муниципальных музеев</t>
  </si>
  <si>
    <t>701 2 02 25497 05 0000 150</t>
  </si>
  <si>
    <t>701 2 02 25590 05 0000 150</t>
  </si>
  <si>
    <t>501A155900</t>
  </si>
  <si>
    <t>Региональные проекты, входящие в национальные проекты</t>
  </si>
  <si>
    <t>5010000000</t>
  </si>
  <si>
    <t>Региональный проект "Обеспечение качественно нового уровня развития инфраструктуры культуры ("Культурная среда")"</t>
  </si>
  <si>
    <t>501А100000</t>
  </si>
  <si>
    <t>Техническое оснащение муниципальных музеев</t>
  </si>
  <si>
    <t>61300L4970</t>
  </si>
  <si>
    <t>Иные межбюджетные трансферты на финансовое обеспечение мероприятий по обеспечению деятельности советни4ков директора по воспитанию и взаимодействию с детскими общественными объединениями в общеобразовательных организациях</t>
  </si>
  <si>
    <t>701 2 02 45179 05 0000 150</t>
  </si>
  <si>
    <t>5810000000</t>
  </si>
  <si>
    <t>581EВ51790</t>
  </si>
  <si>
    <t>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</si>
  <si>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Субсидия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</si>
  <si>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701 2 02 29999 05 6212 150</t>
  </si>
  <si>
    <t>701 2 02 29999 05 6269 150</t>
  </si>
  <si>
    <t xml:space="preserve"> 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</si>
  <si>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Прочие межбюджетные трансферты, передаваемые бюджетам муниципальных районов на создание условий для устойчивой зимовки скота и лошадей</t>
  </si>
  <si>
    <t>701 2 02 49999 05 6584 150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</si>
  <si>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</si>
  <si>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</si>
  <si>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</si>
  <si>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</si>
  <si>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остатки</t>
  </si>
  <si>
    <t>пердвижки по факту</t>
  </si>
  <si>
    <t>за счет доходов</t>
  </si>
  <si>
    <t>дополнительно,</t>
  </si>
  <si>
    <t>КУЛЬТУРА,  КИНЕМАТОГРАФИЯ</t>
  </si>
  <si>
    <t>Оказание услуги по проведению государственной экспертизы проектной документации по объекту капитального строительства «Четырехэтажный 37-квартирный дом по адресу: г.Ленск, ул.Заозерная, 43 «А».</t>
  </si>
  <si>
    <t>Расходы по обеспечению противопожарной и антитеррористической безопасности</t>
  </si>
  <si>
    <t>Создание условий для устойчивой зимовки скота и лошадей</t>
  </si>
  <si>
    <t>Софинансирование реализации мероприятий муниципальных программ (подпрограмм) развития кормопроизводства</t>
  </si>
  <si>
    <t>6040000000</t>
  </si>
  <si>
    <t>6040062120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</si>
  <si>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</si>
  <si>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5840069380</t>
  </si>
  <si>
    <t>5840022002</t>
  </si>
  <si>
    <t>Расходы на обеспечение деятельности (оказание услуг) муниципальных общеобразовательных учреждений</t>
  </si>
  <si>
    <t>5040022004</t>
  </si>
  <si>
    <t>Расходы на обеспечение деятельности (оказание услуг) муниципальных учреждений (образовательные учреждения в сфере культуры и искусства)</t>
  </si>
  <si>
    <t>5840022003</t>
  </si>
  <si>
    <t>Расходы на обеспечение деятельности (оказание услуг) муниципальных учреждений дополнительного образования</t>
  </si>
  <si>
    <t>5040022001</t>
  </si>
  <si>
    <t>5040022002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</si>
  <si>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</si>
  <si>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(музеи)</t>
  </si>
  <si>
    <t>Иные дотации</t>
  </si>
  <si>
    <t>9960061020</t>
  </si>
  <si>
    <t>Предоставление дотации на поддержку мер по обеспечению сбалансированности местных бюджетов (за счет средств ГБ)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</si>
  <si>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</si>
  <si>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</si>
  <si>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</si>
  <si>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</si>
  <si>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</si>
  <si>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</si>
  <si>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</si>
  <si>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</si>
  <si>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</si>
  <si>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</si>
  <si>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</si>
  <si>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>4.1.1.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</si>
  <si>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</si>
  <si>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</si>
  <si>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</si>
  <si>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</si>
  <si>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</si>
  <si>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</si>
  <si>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</si>
  <si>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</si>
  <si>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</si>
  <si>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</si>
  <si>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</si>
  <si>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</si>
  <si>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9950091004</t>
  </si>
  <si>
    <t>701 2 02 29999 05 6218 150</t>
  </si>
  <si>
    <t>Субсидия из ГБ РС(Я) местным бюджетам на реализацию мероприятий в области государственной молодежной политики и патриотического воспитания граждан "Молодежь Якутии" на 2023 год</t>
  </si>
  <si>
    <t>Комплексное развитие сельских территорий</t>
  </si>
  <si>
    <t>6500000000</t>
  </si>
  <si>
    <t>6530000000</t>
  </si>
  <si>
    <t>Расходы на выполнение работ по технологическому присоединению к электрическим сетям  (энергопринимающим устройствам) объекта: "Детская школа искусств с противопожарными резервуарами", расположенного в РС(Я), Ленский район, г. Ленск, ул. Таежная, д. 7</t>
  </si>
  <si>
    <t>9950091013</t>
  </si>
  <si>
    <t>Расходы в области культурно-досуговой деятельности</t>
  </si>
  <si>
    <t>на оплату исполнительного листа Арбитражного суда РС (Я) от 26.04.2023 г. серия ФС 038988909 по Делу от 22.03.2023 г. № А58-10415/22</t>
  </si>
  <si>
    <t>7340022001</t>
  </si>
  <si>
    <t>5740022001</t>
  </si>
  <si>
    <t>5840022001</t>
  </si>
  <si>
    <t>Расходы на обеспечение деятельности (оказание услуг) муниципальных дошкольных учреждений</t>
  </si>
  <si>
    <t>5840022000</t>
  </si>
  <si>
    <t>Расходы на обеспечение деятельности (оказание услуг) муниципальных управлений образования</t>
  </si>
  <si>
    <t>5040022000</t>
  </si>
  <si>
    <t>Поддержка скотоводства</t>
  </si>
  <si>
    <t>5230062180</t>
  </si>
  <si>
    <t>Субсидия из государственного бюджета Республики Саха (Якутия) местным бюджетам на реализацию мероприятий в области государственной молодежной политики и патриотического воспитания граждан "Молодежь Якутии" (за счет средств ГБ)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</si>
  <si>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</si>
  <si>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701 1 16 11064 01 0000 140</t>
  </si>
  <si>
    <t>701 1 14 06013 13 0000 430</t>
  </si>
  <si>
    <t>701 1 16 00000 00 0000 000</t>
  </si>
  <si>
    <t xml:space="preserve">  ШТРАФЫ, САНКЦИИ, ВОЗМЕЩЕНИЕ УЩЕРБА</t>
  </si>
  <si>
    <t>Приложение № 1</t>
  </si>
  <si>
    <t>701 1 13 01995 05 0044 130</t>
  </si>
  <si>
    <t>Прочие доходы от оказания платных услуг (работ) получателями средств бюджетов муниципальных районов (МКОО ДО "ЦДО "Сэргэ")</t>
  </si>
  <si>
    <t>9930010020</t>
  </si>
  <si>
    <t>Проведение выборов и референдумов глав</t>
  </si>
  <si>
    <t>9950091017</t>
  </si>
  <si>
    <t xml:space="preserve">Приобретение 2 (двух) жилых помещений для детей сирот и детей, оставшихся без попечения родителей у лица, являющегося застройщиком, в строящемся жилом доме в поселке Витим Ленского района Республики Саха (Якутия) </t>
  </si>
  <si>
    <r>
      <t xml:space="preserve"> № </t>
    </r>
    <r>
      <rPr>
        <u/>
        <sz val="14"/>
        <rFont val="Times New Roman"/>
        <family val="1"/>
        <charset val="204"/>
      </rPr>
      <t>1-4</t>
    </r>
  </si>
  <si>
    <r>
      <t xml:space="preserve"> от "18"</t>
    </r>
    <r>
      <rPr>
        <u/>
        <sz val="14"/>
        <rFont val="Times New Roman"/>
        <family val="1"/>
        <charset val="204"/>
      </rPr>
      <t xml:space="preserve"> декабря </t>
    </r>
    <r>
      <rPr>
        <sz val="14"/>
        <rFont val="Times New Roman"/>
        <family val="1"/>
        <charset val="204"/>
      </rPr>
      <t>2023 г.</t>
    </r>
  </si>
  <si>
    <t xml:space="preserve"> № 1-4</t>
  </si>
  <si>
    <t xml:space="preserve"> от "18"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</si>
</sst>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2"/>
      <name val="Arial Cyr"/>
      <charset val="204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4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Arial"/>
      <family val="2"/>
      <charset val="204"/>
    </font>
    <font>
      <sz val="12"/>
      <name val="Arial Cyr"/>
      <family val="2"/>
    </font>
    <font>
      <u/>
      <sz val="14"/>
      <name val="Times New Roman"/>
      <family val="1"/>
      <charset val="204"/>
    </font>
    <font>
      <b/>
      <sz val="10"/>
      <name val="Arial Cyr"/>
      <family val="2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color rgb="FF000000"/>
      <name val="Arial Cyr"/>
    </font>
    <font>
      <sz val="14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2">
    <xf numFmtId="0" fontId="0" fillId="0" borderId="0"/>
    <xf numFmtId="0" fontId="6" fillId="0" borderId="0"/>
    <xf numFmtId="0" fontId="6" fillId="0" borderId="0"/>
    <xf numFmtId="4" fontId="16" fillId="2" borderId="3">
      <alignment horizontal="right" vertical="top" shrinkToFit="1"/>
    </xf>
    <xf numFmtId="1" fontId="18" fillId="0" borderId="3">
      <alignment horizontal="center" vertical="top" shrinkToFit="1"/>
    </xf>
    <xf numFmtId="0" fontId="1" fillId="3" borderId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7" borderId="8" applyNumberFormat="0" applyAlignment="0" applyProtection="0"/>
    <xf numFmtId="0" fontId="29" fillId="8" borderId="9" applyNumberFormat="0" applyAlignment="0" applyProtection="0"/>
    <xf numFmtId="0" fontId="30" fillId="8" borderId="8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34" fillId="9" borderId="11" applyNumberFormat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10" borderId="12" applyNumberFormat="0" applyFont="0" applyAlignment="0" applyProtection="0"/>
    <xf numFmtId="0" fontId="3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5" fillId="10" borderId="12" applyNumberFormat="0" applyFont="0" applyAlignment="0" applyProtection="0"/>
    <xf numFmtId="9" fontId="26" fillId="0" borderId="0" applyFont="0" applyFill="0" applyBorder="0" applyAlignment="0" applyProtection="0"/>
    <xf numFmtId="49" fontId="41" fillId="0" borderId="3">
      <alignment horizontal="center" vertical="top" shrinkToFit="1"/>
    </xf>
    <xf numFmtId="4" fontId="41" fillId="0" borderId="3">
      <alignment horizontal="right" vertical="top" shrinkToFit="1"/>
    </xf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1" fillId="35" borderId="0"/>
    <xf numFmtId="0" fontId="41" fillId="0" borderId="0">
      <alignment horizontal="left" wrapText="1"/>
    </xf>
    <xf numFmtId="0" fontId="41" fillId="0" borderId="0">
      <alignment wrapText="1"/>
    </xf>
    <xf numFmtId="0" fontId="42" fillId="0" borderId="0">
      <alignment horizontal="center" wrapText="1"/>
    </xf>
    <xf numFmtId="0" fontId="42" fillId="0" borderId="0">
      <alignment horizontal="center"/>
    </xf>
    <xf numFmtId="0" fontId="41" fillId="0" borderId="0">
      <alignment horizontal="right"/>
    </xf>
    <xf numFmtId="0" fontId="41" fillId="35" borderId="14"/>
    <xf numFmtId="0" fontId="41" fillId="0" borderId="3">
      <alignment horizontal="center" vertical="center" wrapText="1"/>
    </xf>
    <xf numFmtId="0" fontId="41" fillId="35" borderId="15"/>
    <xf numFmtId="49" fontId="41" fillId="0" borderId="3">
      <alignment horizontal="center" vertical="top" shrinkToFit="1"/>
    </xf>
    <xf numFmtId="49" fontId="41" fillId="0" borderId="3">
      <alignment horizontal="left" vertical="top" wrapText="1" indent="2"/>
    </xf>
    <xf numFmtId="0" fontId="41" fillId="35" borderId="16"/>
    <xf numFmtId="0" fontId="16" fillId="0" borderId="3">
      <alignment horizontal="left"/>
    </xf>
    <xf numFmtId="49" fontId="16" fillId="0" borderId="3">
      <alignment horizontal="left" vertical="top" shrinkToFit="1"/>
    </xf>
    <xf numFmtId="0" fontId="41" fillId="35" borderId="16"/>
    <xf numFmtId="0" fontId="41" fillId="0" borderId="0"/>
    <xf numFmtId="0" fontId="41" fillId="0" borderId="3">
      <alignment horizontal="center" vertical="top" wrapText="1"/>
    </xf>
    <xf numFmtId="0" fontId="41" fillId="0" borderId="0">
      <alignment horizontal="left" wrapText="1"/>
    </xf>
    <xf numFmtId="0" fontId="41" fillId="0" borderId="3">
      <alignment horizontal="center" vertical="center" wrapText="1"/>
    </xf>
    <xf numFmtId="0" fontId="41" fillId="0" borderId="3">
      <alignment horizontal="center" vertical="center" wrapText="1"/>
    </xf>
    <xf numFmtId="49" fontId="16" fillId="0" borderId="3">
      <alignment horizontal="left" vertical="top" shrinkToFit="1"/>
    </xf>
    <xf numFmtId="4" fontId="16" fillId="10" borderId="3">
      <alignment horizontal="right" vertical="top" shrinkToFit="1"/>
    </xf>
    <xf numFmtId="4" fontId="41" fillId="0" borderId="3">
      <alignment horizontal="right" vertical="top" shrinkToFit="1"/>
    </xf>
    <xf numFmtId="0" fontId="41" fillId="0" borderId="3">
      <alignment horizontal="center" vertical="center" wrapText="1"/>
    </xf>
    <xf numFmtId="4" fontId="16" fillId="36" borderId="3">
      <alignment horizontal="right" vertical="top" shrinkToFit="1"/>
    </xf>
    <xf numFmtId="0" fontId="41" fillId="0" borderId="0">
      <alignment horizontal="left" wrapText="1"/>
    </xf>
    <xf numFmtId="0" fontId="41" fillId="0" borderId="0">
      <alignment horizontal="left" wrapText="1"/>
    </xf>
    <xf numFmtId="10" fontId="41" fillId="0" borderId="3">
      <alignment horizontal="right" vertical="top" shrinkToFit="1"/>
    </xf>
    <xf numFmtId="10" fontId="41" fillId="0" borderId="3">
      <alignment horizontal="center" vertical="top" shrinkToFit="1"/>
    </xf>
    <xf numFmtId="10" fontId="16" fillId="10" borderId="3">
      <alignment horizontal="right" vertical="top" shrinkToFit="1"/>
    </xf>
    <xf numFmtId="10" fontId="16" fillId="36" borderId="3">
      <alignment horizontal="center" vertical="top" shrinkToFit="1"/>
    </xf>
    <xf numFmtId="0" fontId="42" fillId="0" borderId="0">
      <alignment horizontal="center" wrapText="1"/>
    </xf>
    <xf numFmtId="0" fontId="42" fillId="0" borderId="0">
      <alignment horizontal="center" wrapText="1"/>
    </xf>
    <xf numFmtId="0" fontId="42" fillId="0" borderId="0">
      <alignment horizontal="center"/>
    </xf>
    <xf numFmtId="0" fontId="42" fillId="0" borderId="0">
      <alignment horizontal="center"/>
    </xf>
    <xf numFmtId="0" fontId="16" fillId="0" borderId="3">
      <alignment vertical="top" wrapText="1"/>
    </xf>
    <xf numFmtId="0" fontId="41" fillId="0" borderId="3">
      <alignment horizontal="left" vertical="top" wrapText="1"/>
    </xf>
    <xf numFmtId="4" fontId="16" fillId="2" borderId="3">
      <alignment horizontal="right" vertical="top" shrinkToFit="1"/>
    </xf>
    <xf numFmtId="10" fontId="16" fillId="2" borderId="3">
      <alignment horizontal="right" vertical="top" shrinkToFit="1"/>
    </xf>
    <xf numFmtId="10" fontId="16" fillId="2" borderId="3">
      <alignment horizontal="center" vertical="top" shrinkToFit="1"/>
    </xf>
    <xf numFmtId="0" fontId="45" fillId="0" borderId="0"/>
    <xf numFmtId="0" fontId="41" fillId="0" borderId="0"/>
    <xf numFmtId="0" fontId="41" fillId="0" borderId="0"/>
    <xf numFmtId="0" fontId="41" fillId="37" borderId="0"/>
    <xf numFmtId="0" fontId="41" fillId="37" borderId="14"/>
    <xf numFmtId="0" fontId="41" fillId="37" borderId="15"/>
    <xf numFmtId="0" fontId="41" fillId="0" borderId="3">
      <alignment horizontal="center" vertical="top" wrapText="1"/>
    </xf>
    <xf numFmtId="4" fontId="41" fillId="0" borderId="3">
      <alignment horizontal="right" vertical="top" shrinkToFit="1"/>
    </xf>
    <xf numFmtId="10" fontId="41" fillId="0" borderId="3">
      <alignment horizontal="center" vertical="top" shrinkToFit="1"/>
    </xf>
    <xf numFmtId="0" fontId="41" fillId="37" borderId="16"/>
    <xf numFmtId="49" fontId="16" fillId="0" borderId="3">
      <alignment horizontal="left" vertical="top" shrinkToFit="1"/>
    </xf>
    <xf numFmtId="4" fontId="16" fillId="36" borderId="3">
      <alignment horizontal="right" vertical="top" shrinkToFit="1"/>
    </xf>
    <xf numFmtId="10" fontId="16" fillId="36" borderId="3">
      <alignment horizontal="center" vertical="top" shrinkToFit="1"/>
    </xf>
    <xf numFmtId="0" fontId="41" fillId="0" borderId="0"/>
    <xf numFmtId="0" fontId="41" fillId="37" borderId="14">
      <alignment horizontal="left"/>
    </xf>
    <xf numFmtId="0" fontId="41" fillId="0" borderId="3">
      <alignment horizontal="left" vertical="top" wrapText="1"/>
    </xf>
    <xf numFmtId="4" fontId="16" fillId="2" borderId="3">
      <alignment horizontal="right" vertical="top" shrinkToFit="1"/>
    </xf>
    <xf numFmtId="10" fontId="16" fillId="2" borderId="3">
      <alignment horizontal="center" vertical="top" shrinkToFit="1"/>
    </xf>
    <xf numFmtId="0" fontId="41" fillId="37" borderId="15">
      <alignment horizontal="left"/>
    </xf>
    <xf numFmtId="0" fontId="41" fillId="37" borderId="16">
      <alignment horizontal="left"/>
    </xf>
    <xf numFmtId="0" fontId="41" fillId="37" borderId="0">
      <alignment horizontal="left"/>
    </xf>
    <xf numFmtId="0" fontId="40" fillId="4" borderId="0" applyNumberFormat="0" applyBorder="0" applyAlignment="0" applyProtection="0"/>
    <xf numFmtId="43" fontId="25" fillId="0" borderId="0" applyFont="0" applyFill="0" applyBorder="0" applyAlignment="0" applyProtection="0"/>
  </cellStyleXfs>
  <cellXfs count="394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4" fillId="0" borderId="1" xfId="2" applyFont="1" applyFill="1" applyBorder="1" applyAlignment="1">
      <alignment horizontal="left" vertical="top" shrinkToFit="1"/>
    </xf>
    <xf numFmtId="0" fontId="4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justify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justify" vertical="top" wrapText="1"/>
    </xf>
    <xf numFmtId="0" fontId="15" fillId="0" borderId="0" xfId="0" applyFont="1" applyFill="1"/>
    <xf numFmtId="49" fontId="11" fillId="0" borderId="1" xfId="2" applyNumberFormat="1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 vertical="top" shrinkToFit="1"/>
    </xf>
    <xf numFmtId="0" fontId="11" fillId="0" borderId="1" xfId="2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/>
    <xf numFmtId="0" fontId="11" fillId="0" borderId="4" xfId="2" applyFont="1" applyFill="1" applyBorder="1" applyAlignment="1">
      <alignment vertical="top" wrapText="1"/>
    </xf>
    <xf numFmtId="1" fontId="19" fillId="0" borderId="3" xfId="4" applyNumberFormat="1" applyFont="1" applyFill="1" applyProtection="1">
      <alignment horizontal="center" vertical="top" shrinkToFi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shrinkToFit="1"/>
    </xf>
    <xf numFmtId="49" fontId="11" fillId="0" borderId="1" xfId="2" applyNumberFormat="1" applyFont="1" applyFill="1" applyBorder="1" applyAlignment="1">
      <alignment horizontal="left" vertical="top" shrinkToFit="1"/>
    </xf>
    <xf numFmtId="4" fontId="17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1" xfId="0" applyNumberFormat="1" applyFont="1" applyFill="1" applyBorder="1" applyAlignment="1">
      <alignment vertical="center"/>
    </xf>
    <xf numFmtId="49" fontId="11" fillId="0" borderId="1" xfId="2" applyNumberFormat="1" applyFont="1" applyFill="1" applyBorder="1" applyAlignment="1">
      <alignment vertical="top" shrinkToFit="1"/>
    </xf>
    <xf numFmtId="0" fontId="22" fillId="0" borderId="0" xfId="0" applyFont="1" applyFill="1"/>
    <xf numFmtId="49" fontId="17" fillId="0" borderId="1" xfId="0" applyNumberFormat="1" applyFont="1" applyFill="1" applyBorder="1" applyAlignment="1">
      <alignment horizontal="left" vertical="top" shrinkToFit="1"/>
    </xf>
    <xf numFmtId="0" fontId="17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1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11" fillId="0" borderId="1" xfId="0" applyNumberFormat="1" applyFont="1" applyFill="1" applyBorder="1" applyAlignment="1">
      <alignment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4" fontId="4" fillId="0" borderId="1" xfId="2" applyNumberFormat="1" applyFont="1" applyFill="1" applyBorder="1" applyAlignment="1" applyProtection="1">
      <alignment horizontal="right" vertical="top" shrinkToFit="1"/>
      <protection locked="0"/>
    </xf>
    <xf numFmtId="4" fontId="0" fillId="0" borderId="0" xfId="0" applyNumberFormat="1" applyFill="1"/>
    <xf numFmtId="0" fontId="0" fillId="0" borderId="0" xfId="0" applyFill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7" fillId="0" borderId="1" xfId="0" applyNumberFormat="1" applyFont="1" applyFill="1" applyBorder="1" applyAlignment="1">
      <alignment horizontal="justify" vertical="center" wrapText="1"/>
    </xf>
    <xf numFmtId="0" fontId="11" fillId="0" borderId="1" xfId="2" applyFont="1" applyBorder="1" applyAlignment="1">
      <alignment horizontal="justify" vertical="top" wrapText="1"/>
    </xf>
    <xf numFmtId="0" fontId="11" fillId="0" borderId="1" xfId="2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0" fontId="11" fillId="0" borderId="4" xfId="2" applyFont="1" applyBorder="1" applyAlignment="1">
      <alignment horizontal="justify" vertical="top" wrapText="1"/>
    </xf>
    <xf numFmtId="0" fontId="19" fillId="0" borderId="3" xfId="285" applyNumberFormat="1" applyFont="1" applyAlignment="1" applyProtection="1">
      <alignment vertical="top" wrapText="1"/>
    </xf>
    <xf numFmtId="49" fontId="19" fillId="0" borderId="3" xfId="258" applyFont="1" applyAlignment="1" applyProtection="1">
      <alignment horizontal="left" vertical="top" shrinkToFit="1"/>
    </xf>
    <xf numFmtId="0" fontId="19" fillId="0" borderId="3" xfId="304" applyNumberFormat="1" applyFont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/>
    <xf numFmtId="0" fontId="46" fillId="0" borderId="0" xfId="0" applyFont="1" applyFill="1"/>
    <xf numFmtId="4" fontId="1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7" fillId="0" borderId="0" xfId="0" applyFont="1" applyFill="1"/>
    <xf numFmtId="4" fontId="47" fillId="0" borderId="0" xfId="0" applyNumberFormat="1" applyFont="1" applyFill="1"/>
    <xf numFmtId="0" fontId="47" fillId="0" borderId="0" xfId="0" applyFont="1"/>
    <xf numFmtId="0" fontId="4" fillId="39" borderId="1" xfId="0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wrapText="1" shrinkToFit="1"/>
    </xf>
    <xf numFmtId="0" fontId="11" fillId="0" borderId="2" xfId="0" applyFont="1" applyFill="1" applyBorder="1" applyAlignment="1">
      <alignment horizontal="center" vertical="center" wrapText="1"/>
    </xf>
    <xf numFmtId="4" fontId="4" fillId="39" borderId="1" xfId="0" applyNumberFormat="1" applyFont="1" applyFill="1" applyBorder="1" applyAlignment="1">
      <alignment horizontal="right" vertical="center"/>
    </xf>
    <xf numFmtId="0" fontId="4" fillId="0" borderId="1" xfId="31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wrapText="1" shrinkToFit="1"/>
    </xf>
    <xf numFmtId="49" fontId="4" fillId="39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7" fillId="38" borderId="0" xfId="0" applyFont="1" applyFill="1"/>
    <xf numFmtId="0" fontId="3" fillId="38" borderId="0" xfId="0" applyFont="1" applyFill="1"/>
    <xf numFmtId="0" fontId="4" fillId="39" borderId="1" xfId="0" applyFont="1" applyFill="1" applyBorder="1" applyAlignment="1">
      <alignment horizontal="center" vertical="center"/>
    </xf>
    <xf numFmtId="0" fontId="49" fillId="0" borderId="0" xfId="0" applyFont="1" applyFill="1"/>
    <xf numFmtId="0" fontId="50" fillId="0" borderId="0" xfId="0" applyFont="1" applyFill="1"/>
    <xf numFmtId="4" fontId="50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 shrinkToFit="1"/>
    </xf>
    <xf numFmtId="4" fontId="4" fillId="0" borderId="1" xfId="0" applyNumberFormat="1" applyFont="1" applyFill="1" applyBorder="1"/>
    <xf numFmtId="49" fontId="11" fillId="0" borderId="1" xfId="242" applyNumberFormat="1" applyFont="1" applyFill="1" applyBorder="1" applyAlignment="1" applyProtection="1">
      <alignment horizontal="center" shrinkToFit="1"/>
      <protection locked="0"/>
    </xf>
    <xf numFmtId="49" fontId="4" fillId="0" borderId="1" xfId="242" applyNumberFormat="1" applyFont="1" applyFill="1" applyBorder="1" applyAlignment="1" applyProtection="1">
      <alignment horizontal="center" shrinkToFit="1"/>
      <protection locked="0"/>
    </xf>
    <xf numFmtId="49" fontId="11" fillId="0" borderId="1" xfId="0" applyNumberFormat="1" applyFont="1" applyFill="1" applyBorder="1" applyAlignment="1">
      <alignment horizontal="left" wrapText="1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shrinkToFit="1"/>
    </xf>
    <xf numFmtId="49" fontId="1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shrinkToFit="1"/>
    </xf>
    <xf numFmtId="4" fontId="4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center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wrapText="1" shrinkToFit="1"/>
    </xf>
    <xf numFmtId="0" fontId="11" fillId="0" borderId="1" xfId="0" applyFont="1" applyFill="1" applyBorder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/>
    <xf numFmtId="3" fontId="14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/>
    <xf numFmtId="49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51" fillId="0" borderId="0" xfId="0" applyFont="1" applyFill="1"/>
    <xf numFmtId="4" fontId="17" fillId="0" borderId="1" xfId="0" applyNumberFormat="1" applyFont="1" applyFill="1" applyBorder="1" applyAlignment="1">
      <alignment horizontal="right" shrinkToFit="1"/>
    </xf>
    <xf numFmtId="0" fontId="52" fillId="0" borderId="0" xfId="0" applyFont="1" applyFill="1"/>
    <xf numFmtId="0" fontId="53" fillId="0" borderId="0" xfId="0" applyFont="1" applyFill="1"/>
    <xf numFmtId="49" fontId="4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5" fillId="0" borderId="0" xfId="0" applyFont="1" applyFill="1"/>
    <xf numFmtId="49" fontId="11" fillId="0" borderId="1" xfId="1" quotePrefix="1" applyNumberFormat="1" applyFont="1" applyFill="1" applyBorder="1" applyAlignment="1">
      <alignment horizontal="left" vertical="center" wrapText="1" shrinkToFit="1"/>
    </xf>
    <xf numFmtId="0" fontId="54" fillId="0" borderId="0" xfId="0" applyFont="1" applyFill="1" applyAlignment="1"/>
    <xf numFmtId="0" fontId="55" fillId="0" borderId="0" xfId="0" applyFont="1" applyFill="1" applyAlignment="1"/>
    <xf numFmtId="0" fontId="54" fillId="0" borderId="0" xfId="0" applyFont="1" applyFill="1"/>
    <xf numFmtId="0" fontId="55" fillId="0" borderId="0" xfId="0" applyFont="1" applyFill="1"/>
    <xf numFmtId="49" fontId="11" fillId="0" borderId="17" xfId="0" applyNumberFormat="1" applyFont="1" applyFill="1" applyBorder="1" applyAlignment="1">
      <alignment horizontal="left" vertical="center" wrapText="1" shrinkToFit="1"/>
    </xf>
    <xf numFmtId="4" fontId="48" fillId="0" borderId="1" xfId="0" applyNumberFormat="1" applyFont="1" applyFill="1" applyBorder="1" applyAlignment="1">
      <alignment horizontal="right" shrinkToFit="1"/>
    </xf>
    <xf numFmtId="0" fontId="54" fillId="0" borderId="0" xfId="0" applyFont="1" applyFill="1" applyAlignment="1">
      <alignment wrapText="1" shrinkToFit="1"/>
    </xf>
    <xf numFmtId="49" fontId="11" fillId="0" borderId="1" xfId="0" quotePrefix="1" applyNumberFormat="1" applyFont="1" applyFill="1" applyBorder="1" applyAlignment="1">
      <alignment wrapText="1" shrinkToFi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49" fontId="4" fillId="0" borderId="2" xfId="0" applyNumberFormat="1" applyFont="1" applyFill="1" applyBorder="1" applyAlignment="1">
      <alignment horizontal="center" vertical="top" shrinkToFit="1"/>
    </xf>
    <xf numFmtId="0" fontId="17" fillId="0" borderId="1" xfId="0" applyNumberFormat="1" applyFont="1" applyFill="1" applyBorder="1" applyAlignment="1">
      <alignment horizontal="left" vertical="top" wrapText="1" shrinkToFit="1"/>
    </xf>
    <xf numFmtId="49" fontId="11" fillId="0" borderId="1" xfId="0" applyNumberFormat="1" applyFont="1" applyFill="1" applyBorder="1" applyAlignment="1">
      <alignment horizontal="center" vertical="top" shrinkToFit="1"/>
    </xf>
    <xf numFmtId="49" fontId="11" fillId="0" borderId="2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horizontal="left" vertical="center"/>
    </xf>
    <xf numFmtId="4" fontId="50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0" fillId="0" borderId="0" xfId="0" applyFont="1" applyFill="1"/>
    <xf numFmtId="49" fontId="48" fillId="0" borderId="1" xfId="145" applyNumberFormat="1" applyFont="1" applyFill="1" applyBorder="1" applyAlignment="1">
      <alignment vertical="top"/>
    </xf>
    <xf numFmtId="49" fontId="48" fillId="0" borderId="1" xfId="145" applyNumberFormat="1" applyFont="1" applyFill="1" applyBorder="1" applyAlignment="1">
      <alignment horizontal="center" vertical="center"/>
    </xf>
    <xf numFmtId="49" fontId="48" fillId="0" borderId="1" xfId="150" applyNumberFormat="1" applyFont="1" applyFill="1" applyBorder="1" applyAlignment="1">
      <alignment vertical="top" wrapText="1" shrinkToFit="1"/>
    </xf>
    <xf numFmtId="49" fontId="48" fillId="0" borderId="1" xfId="15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56" fillId="0" borderId="0" xfId="0" applyFont="1" applyFill="1"/>
    <xf numFmtId="49" fontId="11" fillId="0" borderId="1" xfId="0" applyNumberFormat="1" applyFont="1" applyFill="1" applyBorder="1" applyAlignment="1">
      <alignment vertical="top" wrapText="1" shrinkToFit="1"/>
    </xf>
    <xf numFmtId="49" fontId="48" fillId="0" borderId="1" xfId="130" applyNumberFormat="1" applyFont="1" applyFill="1" applyBorder="1" applyAlignment="1">
      <alignment vertical="top"/>
    </xf>
    <xf numFmtId="49" fontId="57" fillId="0" borderId="1" xfId="242" applyNumberFormat="1" applyFont="1" applyFill="1" applyBorder="1" applyAlignment="1" applyProtection="1">
      <alignment horizontal="center" vertical="center" shrinkToFit="1"/>
      <protection locked="0"/>
    </xf>
    <xf numFmtId="4" fontId="17" fillId="0" borderId="1" xfId="0" applyNumberFormat="1" applyFont="1" applyFill="1" applyBorder="1" applyAlignment="1">
      <alignment horizontal="right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48" fillId="0" borderId="1" xfId="0" applyNumberFormat="1" applyFont="1" applyFill="1" applyBorder="1" applyAlignment="1">
      <alignment horizontal="center" vertical="center" shrinkToFit="1"/>
    </xf>
    <xf numFmtId="49" fontId="48" fillId="0" borderId="2" xfId="0" applyNumberFormat="1" applyFont="1" applyFill="1" applyBorder="1" applyAlignment="1">
      <alignment horizontal="center" vertical="center" shrinkToFit="1"/>
    </xf>
    <xf numFmtId="4" fontId="4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8" fillId="0" borderId="1" xfId="0" applyNumberFormat="1" applyFont="1" applyFill="1" applyBorder="1" applyAlignment="1">
      <alignment horizontal="left" vertical="top" wrapText="1" shrinkToFit="1"/>
    </xf>
    <xf numFmtId="0" fontId="48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22" applyNumberFormat="1" applyFont="1" applyFill="1" applyBorder="1" applyAlignment="1">
      <alignment vertical="top"/>
    </xf>
    <xf numFmtId="49" fontId="11" fillId="0" borderId="1" xfId="122" applyNumberFormat="1" applyFont="1" applyFill="1" applyBorder="1" applyAlignment="1">
      <alignment vertical="top" wrapText="1" shrinkToFit="1"/>
    </xf>
    <xf numFmtId="49" fontId="11" fillId="0" borderId="4" xfId="122" applyNumberFormat="1" applyFont="1" applyFill="1" applyBorder="1" applyAlignment="1">
      <alignment vertical="top" wrapText="1" shrinkToFit="1"/>
    </xf>
    <xf numFmtId="49" fontId="48" fillId="0" borderId="1" xfId="120" applyNumberFormat="1" applyFont="1" applyFill="1" applyBorder="1" applyAlignment="1">
      <alignment vertical="top"/>
    </xf>
    <xf numFmtId="49" fontId="11" fillId="0" borderId="1" xfId="122" applyNumberFormat="1" applyFont="1" applyFill="1" applyBorder="1" applyAlignment="1">
      <alignment wrapText="1" shrinkToFit="1"/>
    </xf>
    <xf numFmtId="0" fontId="20" fillId="0" borderId="0" xfId="0" applyFont="1" applyFill="1" applyAlignment="1"/>
    <xf numFmtId="49" fontId="4" fillId="0" borderId="1" xfId="143" applyNumberFormat="1" applyFont="1" applyFill="1" applyBorder="1" applyAlignment="1">
      <alignment vertical="top"/>
    </xf>
    <xf numFmtId="49" fontId="48" fillId="0" borderId="1" xfId="158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vertical="center"/>
    </xf>
    <xf numFmtId="49" fontId="48" fillId="0" borderId="1" xfId="144" applyNumberFormat="1" applyFont="1" applyFill="1" applyBorder="1" applyAlignment="1">
      <alignment vertical="top"/>
    </xf>
    <xf numFmtId="49" fontId="48" fillId="0" borderId="1" xfId="137" applyNumberFormat="1" applyFont="1" applyFill="1" applyBorder="1" applyAlignment="1">
      <alignment vertical="top"/>
    </xf>
    <xf numFmtId="0" fontId="1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0" fontId="11" fillId="0" borderId="1" xfId="0" quotePrefix="1" applyNumberFormat="1" applyFont="1" applyFill="1" applyBorder="1" applyAlignment="1">
      <alignment horizontal="left" vertical="top" wrapText="1" shrinkToFit="1"/>
    </xf>
    <xf numFmtId="4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0" applyNumberFormat="1" applyFont="1" applyFill="1" applyBorder="1" applyAlignment="1">
      <alignment vertical="center"/>
    </xf>
    <xf numFmtId="0" fontId="17" fillId="0" borderId="1" xfId="0" quotePrefix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wrapText="1" shrinkToFit="1"/>
    </xf>
    <xf numFmtId="49" fontId="4" fillId="0" borderId="4" xfId="122" applyNumberFormat="1" applyFont="1" applyFill="1" applyBorder="1" applyAlignment="1">
      <alignment vertical="top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48" fillId="0" borderId="4" xfId="0" applyNumberFormat="1" applyFont="1" applyFill="1" applyBorder="1" applyAlignment="1">
      <alignment horizontal="center" vertical="center" shrinkToFit="1"/>
    </xf>
    <xf numFmtId="4" fontId="17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" xfId="0" quotePrefix="1" applyNumberFormat="1" applyFont="1" applyFill="1" applyBorder="1" applyAlignment="1">
      <alignment horizontal="left" vertical="top" wrapText="1" shrinkToFit="1"/>
    </xf>
    <xf numFmtId="49" fontId="4" fillId="0" borderId="1" xfId="122" applyNumberFormat="1" applyFont="1" applyFill="1" applyBorder="1" applyAlignment="1">
      <alignment wrapText="1" shrinkToFit="1"/>
    </xf>
    <xf numFmtId="49" fontId="17" fillId="0" borderId="1" xfId="144" quotePrefix="1" applyNumberFormat="1" applyFont="1" applyFill="1" applyBorder="1" applyAlignment="1">
      <alignment vertical="top" wrapText="1"/>
    </xf>
    <xf numFmtId="3" fontId="9" fillId="0" borderId="0" xfId="0" applyNumberFormat="1" applyFont="1"/>
    <xf numFmtId="3" fontId="0" fillId="0" borderId="0" xfId="0" applyNumberFormat="1"/>
    <xf numFmtId="3" fontId="8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/>
    <xf numFmtId="49" fontId="23" fillId="0" borderId="1" xfId="0" applyNumberFormat="1" applyFont="1" applyBorder="1" applyAlignment="1">
      <alignment horizontal="center" wrapText="1"/>
    </xf>
    <xf numFmtId="4" fontId="23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0" xfId="0" applyFont="1"/>
    <xf numFmtId="0" fontId="23" fillId="0" borderId="1" xfId="0" applyFont="1" applyBorder="1"/>
    <xf numFmtId="4" fontId="21" fillId="0" borderId="1" xfId="0" applyNumberFormat="1" applyFont="1" applyBorder="1"/>
    <xf numFmtId="0" fontId="21" fillId="0" borderId="0" xfId="0" applyFont="1"/>
    <xf numFmtId="3" fontId="10" fillId="0" borderId="0" xfId="0" applyNumberFormat="1" applyFont="1"/>
    <xf numFmtId="4" fontId="12" fillId="0" borderId="1" xfId="0" applyNumberFormat="1" applyFont="1" applyBorder="1" applyAlignment="1">
      <alignment vertical="top" wrapText="1"/>
    </xf>
    <xf numFmtId="0" fontId="2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vertical="center" wrapText="1"/>
    </xf>
    <xf numFmtId="3" fontId="15" fillId="0" borderId="0" xfId="0" applyNumberFormat="1" applyFont="1"/>
    <xf numFmtId="4" fontId="11" fillId="38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38" borderId="1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/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" fontId="11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4" fontId="17" fillId="0" borderId="0" xfId="3" applyFont="1" applyFill="1" applyBorder="1" applyProtection="1">
      <alignment horizontal="right" vertical="top" shrinkToFit="1"/>
    </xf>
    <xf numFmtId="4" fontId="17" fillId="0" borderId="0" xfId="3" applyFont="1" applyFill="1" applyBorder="1" applyAlignment="1" applyProtection="1">
      <alignment horizontal="right" vertical="center" shrinkToFit="1"/>
    </xf>
    <xf numFmtId="4" fontId="14" fillId="0" borderId="0" xfId="2" applyNumberFormat="1" applyFont="1" applyFill="1" applyBorder="1" applyAlignment="1" applyProtection="1">
      <alignment vertical="top" shrinkToFit="1"/>
      <protection locked="0"/>
    </xf>
    <xf numFmtId="4" fontId="17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59" fillId="0" borderId="0" xfId="269" applyNumberFormat="1" applyFont="1" applyFill="1" applyBorder="1" applyAlignment="1" applyProtection="1">
      <alignment horizontal="right" shrinkToFit="1"/>
    </xf>
    <xf numFmtId="4" fontId="4" fillId="0" borderId="1" xfId="0" applyNumberFormat="1" applyFont="1" applyFill="1" applyBorder="1" applyAlignment="1">
      <alignment vertical="center" wrapText="1" shrinkToFit="1"/>
    </xf>
    <xf numFmtId="4" fontId="11" fillId="0" borderId="1" xfId="0" applyNumberFormat="1" applyFont="1" applyFill="1" applyBorder="1" applyAlignment="1"/>
    <xf numFmtId="49" fontId="48" fillId="0" borderId="1" xfId="0" applyNumberFormat="1" applyFont="1" applyFill="1" applyBorder="1" applyAlignment="1">
      <alignment horizontal="left" vertical="top" shrinkToFit="1"/>
    </xf>
    <xf numFmtId="4" fontId="17" fillId="0" borderId="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7" fillId="0" borderId="0" xfId="243" applyNumberFormat="1" applyFont="1" applyFill="1" applyBorder="1" applyAlignment="1" applyProtection="1">
      <alignment horizontal="right" vertical="center" shrinkToFit="1"/>
      <protection locked="0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0" xfId="0" applyNumberFormat="1" applyFont="1" applyFill="1" applyBorder="1" applyAlignment="1">
      <alignment horizontal="right" vertical="center" shrinkToFit="1"/>
    </xf>
    <xf numFmtId="4" fontId="17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4" fontId="48" fillId="39" borderId="1" xfId="0" applyNumberFormat="1" applyFont="1" applyFill="1" applyBorder="1" applyAlignment="1">
      <alignment horizontal="right" vertical="center" shrinkToFit="1"/>
    </xf>
    <xf numFmtId="49" fontId="11" fillId="39" borderId="1" xfId="0" applyNumberFormat="1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 shrinkToFit="1"/>
    </xf>
    <xf numFmtId="49" fontId="61" fillId="0" borderId="2" xfId="0" applyNumberFormat="1" applyFont="1" applyFill="1" applyBorder="1" applyAlignment="1">
      <alignment horizontal="center" vertical="center" shrinkToFit="1"/>
    </xf>
    <xf numFmtId="4" fontId="6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0" xfId="0" applyFont="1" applyFill="1"/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4" xfId="0" applyNumberFormat="1" applyFont="1" applyFill="1" applyBorder="1" applyAlignment="1">
      <alignment wrapText="1" shrinkToFit="1"/>
    </xf>
    <xf numFmtId="49" fontId="11" fillId="0" borderId="1" xfId="1" applyNumberFormat="1" applyFont="1" applyFill="1" applyBorder="1" applyAlignment="1">
      <alignment horizontal="left" vertical="top" wrapText="1" shrinkToFit="1"/>
    </xf>
    <xf numFmtId="4" fontId="3" fillId="0" borderId="0" xfId="0" applyNumberFormat="1" applyFont="1" applyFill="1" applyBorder="1"/>
    <xf numFmtId="49" fontId="4" fillId="0" borderId="1" xfId="2" applyNumberFormat="1" applyFont="1" applyFill="1" applyBorder="1" applyAlignment="1">
      <alignment vertical="top" wrapText="1"/>
    </xf>
    <xf numFmtId="0" fontId="41" fillId="0" borderId="3" xfId="285" applyNumberFormat="1" applyProtection="1">
      <alignment horizontal="left" vertical="top" wrapText="1"/>
    </xf>
    <xf numFmtId="49" fontId="48" fillId="0" borderId="19" xfId="0" applyNumberFormat="1" applyFont="1" applyFill="1" applyBorder="1" applyAlignment="1">
      <alignment horizontal="center" vertical="center" shrinkToFit="1"/>
    </xf>
    <xf numFmtId="49" fontId="48" fillId="0" borderId="20" xfId="242" applyNumberFormat="1" applyFont="1" applyFill="1" applyBorder="1" applyAlignment="1" applyProtection="1">
      <alignment horizontal="center" vertical="center" shrinkToFit="1"/>
      <protection locked="0"/>
    </xf>
    <xf numFmtId="49" fontId="48" fillId="0" borderId="21" xfId="0" applyNumberFormat="1" applyFont="1" applyFill="1" applyBorder="1" applyAlignment="1">
      <alignment horizontal="center" vertical="center" shrinkToFit="1"/>
    </xf>
    <xf numFmtId="4" fontId="48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Fill="1" applyBorder="1" applyAlignment="1">
      <alignment wrapText="1" shrinkToFit="1"/>
    </xf>
    <xf numFmtId="1" fontId="62" fillId="0" borderId="3" xfId="4" applyNumberFormat="1" applyFont="1" applyProtection="1">
      <alignment horizontal="center" vertical="top" shrinkToFit="1"/>
    </xf>
    <xf numFmtId="0" fontId="14" fillId="0" borderId="1" xfId="2" applyFont="1" applyBorder="1" applyAlignment="1">
      <alignment horizontal="left" vertical="top" wrapText="1"/>
    </xf>
    <xf numFmtId="43" fontId="11" fillId="0" borderId="1" xfId="311" applyFont="1" applyFill="1" applyBorder="1" applyAlignment="1" applyProtection="1">
      <alignment horizontal="right" vertical="center"/>
      <protection locked="0"/>
    </xf>
    <xf numFmtId="4" fontId="11" fillId="38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/>
    <xf numFmtId="0" fontId="3" fillId="0" borderId="0" xfId="0" applyFont="1" applyFill="1" applyBorder="1"/>
    <xf numFmtId="164" fontId="11" fillId="0" borderId="1" xfId="311" applyNumberFormat="1" applyFont="1" applyFill="1" applyBorder="1" applyAlignment="1" applyProtection="1">
      <alignment horizontal="right" vertical="center"/>
      <protection locked="0"/>
    </xf>
    <xf numFmtId="4" fontId="57" fillId="0" borderId="1" xfId="243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>
      <alignment horizontal="right" vertical="center" shrinkToFit="1"/>
    </xf>
    <xf numFmtId="4" fontId="48" fillId="0" borderId="0" xfId="0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9" fontId="63" fillId="0" borderId="2" xfId="0" applyNumberFormat="1" applyFont="1" applyFill="1" applyBorder="1" applyAlignment="1">
      <alignment horizontal="center" vertical="center" shrinkToFit="1"/>
    </xf>
    <xf numFmtId="4" fontId="63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/>
    <xf numFmtId="0" fontId="15" fillId="0" borderId="0" xfId="0" applyFont="1"/>
    <xf numFmtId="4" fontId="48" fillId="0" borderId="1" xfId="0" applyNumberFormat="1" applyFont="1" applyFill="1" applyBorder="1" applyAlignment="1" applyProtection="1">
      <alignment horizontal="right" shrinkToFit="1"/>
      <protection locked="0"/>
    </xf>
    <xf numFmtId="4" fontId="10" fillId="0" borderId="0" xfId="0" applyNumberFormat="1" applyFont="1"/>
    <xf numFmtId="49" fontId="11" fillId="0" borderId="2" xfId="0" applyNumberFormat="1" applyFont="1" applyFill="1" applyBorder="1" applyAlignment="1">
      <alignment horizontal="center" vertical="center" shrinkToFit="1"/>
    </xf>
    <xf numFmtId="49" fontId="48" fillId="0" borderId="0" xfId="0" applyNumberFormat="1" applyFont="1" applyFill="1" applyBorder="1" applyAlignment="1">
      <alignment horizontal="center" vertical="center" shrinkToFit="1"/>
    </xf>
    <xf numFmtId="4" fontId="56" fillId="0" borderId="0" xfId="0" applyNumberFormat="1" applyFont="1" applyFill="1" applyBorder="1" applyAlignment="1">
      <alignment vertical="center"/>
    </xf>
    <xf numFmtId="49" fontId="48" fillId="0" borderId="22" xfId="0" applyNumberFormat="1" applyFont="1" applyFill="1" applyBorder="1" applyAlignment="1">
      <alignment horizontal="center" vertical="center" shrinkToFit="1"/>
    </xf>
    <xf numFmtId="4" fontId="48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8" fillId="0" borderId="1" xfId="242" applyNumberFormat="1" applyFont="1" applyFill="1" applyBorder="1" applyAlignment="1" applyProtection="1">
      <alignment horizontal="center" vertical="center" shrinkToFit="1"/>
      <protection locked="0"/>
    </xf>
    <xf numFmtId="4" fontId="48" fillId="0" borderId="1" xfId="0" applyNumberFormat="1" applyFont="1" applyFill="1" applyBorder="1" applyAlignment="1">
      <alignment horizontal="right" vertical="center" shrinkToFit="1"/>
    </xf>
    <xf numFmtId="4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48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50" fillId="0" borderId="0" xfId="0" applyNumberFormat="1" applyFont="1" applyFill="1" applyBorder="1"/>
    <xf numFmtId="0" fontId="50" fillId="0" borderId="0" xfId="0" applyFont="1" applyFill="1" applyBorder="1"/>
    <xf numFmtId="0" fontId="47" fillId="0" borderId="0" xfId="0" applyFont="1" applyFill="1" applyBorder="1"/>
    <xf numFmtId="4" fontId="3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/>
    <xf numFmtId="0" fontId="51" fillId="0" borderId="0" xfId="0" applyFont="1" applyFill="1" applyBorder="1"/>
    <xf numFmtId="4" fontId="14" fillId="0" borderId="0" xfId="2" applyNumberFormat="1" applyFont="1" applyFill="1" applyBorder="1" applyAlignment="1" applyProtection="1">
      <alignment horizontal="right" shrinkToFit="1"/>
      <protection locked="0"/>
    </xf>
    <xf numFmtId="4" fontId="4" fillId="0" borderId="0" xfId="2" applyNumberFormat="1" applyFont="1" applyFill="1" applyBorder="1" applyAlignment="1" applyProtection="1">
      <alignment horizontal="right" vertical="top" shrinkToFit="1"/>
      <protection locked="0"/>
    </xf>
    <xf numFmtId="4" fontId="11" fillId="0" borderId="0" xfId="2" applyNumberFormat="1" applyFont="1" applyFill="1" applyBorder="1" applyAlignment="1" applyProtection="1">
      <alignment horizontal="right" vertical="top" shrinkToFit="1"/>
      <protection locked="0"/>
    </xf>
    <xf numFmtId="4" fontId="17" fillId="0" borderId="3" xfId="5" applyNumberFormat="1" applyFont="1" applyFill="1" applyBorder="1" applyAlignment="1">
      <alignment horizontal="right" vertical="top" shrinkToFit="1"/>
    </xf>
    <xf numFmtId="4" fontId="11" fillId="0" borderId="3" xfId="5" applyNumberFormat="1" applyFont="1" applyFill="1" applyBorder="1" applyAlignment="1">
      <alignment horizontal="right" vertical="top" shrinkToFit="1"/>
    </xf>
    <xf numFmtId="4" fontId="11" fillId="0" borderId="1" xfId="0" applyNumberFormat="1" applyFont="1" applyFill="1" applyBorder="1" applyAlignment="1">
      <alignment vertical="top"/>
    </xf>
    <xf numFmtId="4" fontId="17" fillId="0" borderId="0" xfId="5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vertical="center" wrapText="1"/>
    </xf>
    <xf numFmtId="4" fontId="11" fillId="0" borderId="0" xfId="5" applyNumberFormat="1" applyFont="1" applyFill="1" applyBorder="1" applyAlignment="1">
      <alignment horizontal="right" vertical="top" shrinkToFit="1"/>
    </xf>
    <xf numFmtId="4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11" fillId="0" borderId="0" xfId="0" applyNumberFormat="1" applyFont="1" applyFill="1" applyBorder="1" applyAlignment="1">
      <alignment vertical="top"/>
    </xf>
    <xf numFmtId="4" fontId="14" fillId="0" borderId="1" xfId="2" applyNumberFormat="1" applyFont="1" applyFill="1" applyBorder="1" applyAlignment="1" applyProtection="1">
      <alignment horizontal="right" vertical="top" shrinkToFit="1"/>
      <protection locked="0"/>
    </xf>
    <xf numFmtId="4" fontId="17" fillId="0" borderId="3" xfId="3" applyFont="1" applyFill="1" applyProtection="1">
      <alignment horizontal="right" vertical="top" shrinkToFit="1"/>
    </xf>
    <xf numFmtId="4" fontId="14" fillId="0" borderId="1" xfId="2" applyNumberFormat="1" applyFont="1" applyFill="1" applyBorder="1" applyAlignment="1" applyProtection="1">
      <alignment vertical="top" shrinkToFit="1"/>
      <protection locked="0"/>
    </xf>
    <xf numFmtId="4" fontId="14" fillId="0" borderId="4" xfId="2" applyNumberFormat="1" applyFont="1" applyFill="1" applyBorder="1" applyAlignment="1" applyProtection="1">
      <alignment vertical="top" shrinkToFit="1"/>
      <protection locked="0"/>
    </xf>
    <xf numFmtId="4" fontId="0" fillId="0" borderId="0" xfId="0" applyNumberFormat="1" applyFont="1" applyFill="1"/>
    <xf numFmtId="3" fontId="1" fillId="0" borderId="0" xfId="0" applyNumberFormat="1" applyFont="1" applyFill="1"/>
    <xf numFmtId="3" fontId="11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vertical="top"/>
    </xf>
    <xf numFmtId="4" fontId="14" fillId="0" borderId="0" xfId="0" applyNumberFormat="1" applyFont="1" applyFill="1"/>
    <xf numFmtId="0" fontId="14" fillId="0" borderId="0" xfId="0" applyFont="1" applyFill="1" applyBorder="1"/>
    <xf numFmtId="0" fontId="14" fillId="0" borderId="0" xfId="0" applyFont="1" applyFill="1"/>
    <xf numFmtId="4" fontId="7" fillId="0" borderId="0" xfId="0" applyNumberFormat="1" applyFont="1" applyFill="1" applyBorder="1"/>
    <xf numFmtId="4" fontId="7" fillId="0" borderId="0" xfId="0" applyNumberFormat="1" applyFont="1" applyFill="1"/>
    <xf numFmtId="49" fontId="57" fillId="0" borderId="3" xfId="24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wrapText="1" shrinkToFit="1"/>
    </xf>
    <xf numFmtId="0" fontId="20" fillId="0" borderId="0" xfId="0" quotePrefix="1" applyFont="1" applyFill="1" applyBorder="1" applyAlignment="1">
      <alignment wrapText="1"/>
    </xf>
    <xf numFmtId="49" fontId="17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48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242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24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wrapText="1" shrinkToFit="1"/>
    </xf>
    <xf numFmtId="1" fontId="57" fillId="0" borderId="0" xfId="254" applyNumberFormat="1" applyFont="1" applyFill="1" applyBorder="1" applyAlignment="1" applyProtection="1">
      <alignment horizontal="center" vertical="top" shrinkToFit="1"/>
    </xf>
    <xf numFmtId="4" fontId="17" fillId="0" borderId="1" xfId="243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>
      <alignment horizontal="right"/>
    </xf>
    <xf numFmtId="2" fontId="11" fillId="0" borderId="1" xfId="0" applyNumberFormat="1" applyFont="1" applyFill="1" applyBorder="1" applyAlignment="1">
      <alignment wrapText="1" shrinkToFit="1"/>
    </xf>
    <xf numFmtId="3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1" fillId="38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312">
    <cellStyle name="20% — акцент1 2" xfId="6"/>
    <cellStyle name="20% — акцент2 2" xfId="7"/>
    <cellStyle name="20% — акцент3 2" xfId="8"/>
    <cellStyle name="20% — акцент4 2" xfId="9"/>
    <cellStyle name="20% — акцент5 2" xfId="10"/>
    <cellStyle name="20% — акцент6 2" xfId="11"/>
    <cellStyle name="40% — акцент1 2" xfId="12"/>
    <cellStyle name="40% — акцент2 2" xfId="13"/>
    <cellStyle name="40% — акцент3 2" xfId="14"/>
    <cellStyle name="40% — акцент4 2" xfId="15"/>
    <cellStyle name="40% — акцент5 2" xfId="16"/>
    <cellStyle name="40% — акцент6 2" xfId="17"/>
    <cellStyle name="60% — акцент1 2" xfId="18"/>
    <cellStyle name="60% — акцент2 2" xfId="19"/>
    <cellStyle name="60% — акцент3 2" xfId="20"/>
    <cellStyle name="60% — акцент4 2" xfId="21"/>
    <cellStyle name="60% — акцент5 2" xfId="22"/>
    <cellStyle name="60% — акцент6 2" xfId="23"/>
    <cellStyle name="br" xfId="244"/>
    <cellStyle name="col" xfId="245"/>
    <cellStyle name="style0" xfId="246"/>
    <cellStyle name="style0 2" xfId="290"/>
    <cellStyle name="td" xfId="247"/>
    <cellStyle name="td 2" xfId="291"/>
    <cellStyle name="tr" xfId="248"/>
    <cellStyle name="xl21" xfId="249"/>
    <cellStyle name="xl21 2" xfId="292"/>
    <cellStyle name="xl22" xfId="250"/>
    <cellStyle name="xl22 2" xfId="251"/>
    <cellStyle name="xl23" xfId="252"/>
    <cellStyle name="xl23 2" xfId="4"/>
    <cellStyle name="xl24" xfId="253"/>
    <cellStyle name="xl25" xfId="254"/>
    <cellStyle name="xl26" xfId="255"/>
    <cellStyle name="xl26 2" xfId="293"/>
    <cellStyle name="xl27" xfId="256"/>
    <cellStyle name="xl28" xfId="257"/>
    <cellStyle name="xl28 2" xfId="294"/>
    <cellStyle name="xl29" xfId="258"/>
    <cellStyle name="xl29 2" xfId="259"/>
    <cellStyle name="xl30" xfId="260"/>
    <cellStyle name="xl30 2" xfId="261"/>
    <cellStyle name="xl30 3" xfId="295"/>
    <cellStyle name="xl31" xfId="262"/>
    <cellStyle name="xl31 2" xfId="263"/>
    <cellStyle name="xl31 3" xfId="296"/>
    <cellStyle name="xl32" xfId="264"/>
    <cellStyle name="xl32 2" xfId="297"/>
    <cellStyle name="xl33" xfId="265"/>
    <cellStyle name="xl33 2" xfId="266"/>
    <cellStyle name="xl33 3" xfId="298"/>
    <cellStyle name="xl34" xfId="267"/>
    <cellStyle name="xl34 2" xfId="242"/>
    <cellStyle name="xl34 3" xfId="299"/>
    <cellStyle name="xl35" xfId="268"/>
    <cellStyle name="xl35 2" xfId="243"/>
    <cellStyle name="xl35 3" xfId="300"/>
    <cellStyle name="xl36" xfId="269"/>
    <cellStyle name="xl36 2" xfId="270"/>
    <cellStyle name="xl36 3" xfId="301"/>
    <cellStyle name="xl37" xfId="271"/>
    <cellStyle name="xl37 2" xfId="272"/>
    <cellStyle name="xl37 3" xfId="302"/>
    <cellStyle name="xl38" xfId="273"/>
    <cellStyle name="xl38 2" xfId="274"/>
    <cellStyle name="xl38 3" xfId="303"/>
    <cellStyle name="xl39" xfId="275"/>
    <cellStyle name="xl39 2" xfId="276"/>
    <cellStyle name="xl39 3" xfId="304"/>
    <cellStyle name="xl40" xfId="277"/>
    <cellStyle name="xl40 2" xfId="278"/>
    <cellStyle name="xl40 3" xfId="305"/>
    <cellStyle name="xl41" xfId="279"/>
    <cellStyle name="xl41 2" xfId="280"/>
    <cellStyle name="xl41 3" xfId="306"/>
    <cellStyle name="xl42" xfId="281"/>
    <cellStyle name="xl42 2" xfId="282"/>
    <cellStyle name="xl42 3" xfId="307"/>
    <cellStyle name="xl43" xfId="283"/>
    <cellStyle name="xl43 2" xfId="284"/>
    <cellStyle name="xl43 3" xfId="308"/>
    <cellStyle name="xl44" xfId="285"/>
    <cellStyle name="xl44 2" xfId="286"/>
    <cellStyle name="xl44 3" xfId="309"/>
    <cellStyle name="xl45" xfId="3"/>
    <cellStyle name="xl45 2" xfId="287"/>
    <cellStyle name="xl46" xfId="288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2"/>
    <cellStyle name="Обычный 100" xfId="41"/>
    <cellStyle name="Обычный 101" xfId="42"/>
    <cellStyle name="Обычный 102" xfId="43"/>
    <cellStyle name="Обычный 103" xfId="44"/>
    <cellStyle name="Обычный 104" xfId="45"/>
    <cellStyle name="Обычный 105" xfId="46"/>
    <cellStyle name="Обычный 106" xfId="47"/>
    <cellStyle name="Обычный 107" xfId="48"/>
    <cellStyle name="Обычный 108" xfId="49"/>
    <cellStyle name="Обычный 109" xfId="50"/>
    <cellStyle name="Обычный 11" xfId="51"/>
    <cellStyle name="Обычный 110" xfId="52"/>
    <cellStyle name="Обычный 111" xfId="53"/>
    <cellStyle name="Обычный 112" xfId="54"/>
    <cellStyle name="Обычный 113" xfId="55"/>
    <cellStyle name="Обычный 114" xfId="56"/>
    <cellStyle name="Обычный 115" xfId="57"/>
    <cellStyle name="Обычный 116" xfId="58"/>
    <cellStyle name="Обычный 117" xfId="59"/>
    <cellStyle name="Обычный 118" xfId="60"/>
    <cellStyle name="Обычный 119" xfId="61"/>
    <cellStyle name="Обычный 12" xfId="62"/>
    <cellStyle name="Обычный 120" xfId="63"/>
    <cellStyle name="Обычный 121" xfId="64"/>
    <cellStyle name="Обычный 122" xfId="65"/>
    <cellStyle name="Обычный 123" xfId="66"/>
    <cellStyle name="Обычный 124" xfId="67"/>
    <cellStyle name="Обычный 125" xfId="68"/>
    <cellStyle name="Обычный 126" xfId="69"/>
    <cellStyle name="Обычный 127" xfId="70"/>
    <cellStyle name="Обычный 128" xfId="71"/>
    <cellStyle name="Обычный 129" xfId="72"/>
    <cellStyle name="Обычный 13" xfId="73"/>
    <cellStyle name="Обычный 130" xfId="74"/>
    <cellStyle name="Обычный 131" xfId="75"/>
    <cellStyle name="Обычный 132" xfId="76"/>
    <cellStyle name="Обычный 133" xfId="77"/>
    <cellStyle name="Обычный 134" xfId="78"/>
    <cellStyle name="Обычный 135" xfId="79"/>
    <cellStyle name="Обычный 136" xfId="80"/>
    <cellStyle name="Обычный 137" xfId="81"/>
    <cellStyle name="Обычный 138" xfId="82"/>
    <cellStyle name="Обычный 139" xfId="83"/>
    <cellStyle name="Обычный 14" xfId="84"/>
    <cellStyle name="Обычный 140" xfId="85"/>
    <cellStyle name="Обычный 141" xfId="86"/>
    <cellStyle name="Обычный 142" xfId="87"/>
    <cellStyle name="Обычный 143" xfId="88"/>
    <cellStyle name="Обычный 144" xfId="89"/>
    <cellStyle name="Обычный 145" xfId="90"/>
    <cellStyle name="Обычный 146" xfId="91"/>
    <cellStyle name="Обычный 147" xfId="92"/>
    <cellStyle name="Обычный 148" xfId="93"/>
    <cellStyle name="Обычный 149" xfId="94"/>
    <cellStyle name="Обычный 15" xfId="95"/>
    <cellStyle name="Обычный 150" xfId="96"/>
    <cellStyle name="Обычный 151" xfId="97"/>
    <cellStyle name="Обычный 152" xfId="98"/>
    <cellStyle name="Обычный 153" xfId="99"/>
    <cellStyle name="Обычный 154" xfId="100"/>
    <cellStyle name="Обычный 155" xfId="101"/>
    <cellStyle name="Обычный 156" xfId="102"/>
    <cellStyle name="Обычный 157" xfId="103"/>
    <cellStyle name="Обычный 158" xfId="104"/>
    <cellStyle name="Обычный 159" xfId="105"/>
    <cellStyle name="Обычный 16" xfId="106"/>
    <cellStyle name="Обычный 160" xfId="107"/>
    <cellStyle name="Обычный 161" xfId="108"/>
    <cellStyle name="Обычный 162" xfId="109"/>
    <cellStyle name="Обычный 163" xfId="110"/>
    <cellStyle name="Обычный 164" xfId="111"/>
    <cellStyle name="Обычный 165" xfId="112"/>
    <cellStyle name="Обычный 166" xfId="113"/>
    <cellStyle name="Обычный 167" xfId="114"/>
    <cellStyle name="Обычный 168" xfId="115"/>
    <cellStyle name="Обычный 169" xfId="116"/>
    <cellStyle name="Обычный 17" xfId="117"/>
    <cellStyle name="Обычный 170" xfId="118"/>
    <cellStyle name="Обычный 171" xfId="119"/>
    <cellStyle name="Обычный 172" xfId="120"/>
    <cellStyle name="Обычный 173" xfId="121"/>
    <cellStyle name="Обычный 174" xfId="122"/>
    <cellStyle name="Обычный 175" xfId="123"/>
    <cellStyle name="Обычный 176" xfId="124"/>
    <cellStyle name="Обычный 177" xfId="125"/>
    <cellStyle name="Обычный 178" xfId="126"/>
    <cellStyle name="Обычный 179" xfId="127"/>
    <cellStyle name="Обычный 18" xfId="128"/>
    <cellStyle name="Обычный 180" xfId="129"/>
    <cellStyle name="Обычный 181" xfId="130"/>
    <cellStyle name="Обычный 182" xfId="131"/>
    <cellStyle name="Обычный 183" xfId="132"/>
    <cellStyle name="Обычный 184" xfId="289"/>
    <cellStyle name="Обычный 185" xfId="133"/>
    <cellStyle name="Обычный 186" xfId="134"/>
    <cellStyle name="Обычный 187" xfId="135"/>
    <cellStyle name="Обычный 188" xfId="136"/>
    <cellStyle name="Обычный 189" xfId="137"/>
    <cellStyle name="Обычный 19" xfId="138"/>
    <cellStyle name="Обычный 190" xfId="139"/>
    <cellStyle name="Обычный 191" xfId="140"/>
    <cellStyle name="Обычный 192" xfId="141"/>
    <cellStyle name="Обычный 193" xfId="142"/>
    <cellStyle name="Обычный 194" xfId="143"/>
    <cellStyle name="Обычный 195" xfId="144"/>
    <cellStyle name="Обычный 196" xfId="145"/>
    <cellStyle name="Обычный 197" xfId="146"/>
    <cellStyle name="Обычный 198" xfId="147"/>
    <cellStyle name="Обычный 2" xfId="148"/>
    <cellStyle name="Обычный 20" xfId="149"/>
    <cellStyle name="Обычный 21" xfId="150"/>
    <cellStyle name="Обычный 22" xfId="151"/>
    <cellStyle name="Обычный 23" xfId="152"/>
    <cellStyle name="Обычный 24" xfId="153"/>
    <cellStyle name="Обычный 25" xfId="154"/>
    <cellStyle name="Обычный 26" xfId="155"/>
    <cellStyle name="Обычный 27" xfId="156"/>
    <cellStyle name="Обычный 28" xfId="157"/>
    <cellStyle name="Обычный 29" xfId="158"/>
    <cellStyle name="Обычный 3" xfId="1"/>
    <cellStyle name="Обычный 30" xfId="159"/>
    <cellStyle name="Обычный 31" xfId="160"/>
    <cellStyle name="Обычный 32" xfId="161"/>
    <cellStyle name="Обычный 33" xfId="162"/>
    <cellStyle name="Обычный 34" xfId="163"/>
    <cellStyle name="Обычный 35" xfId="164"/>
    <cellStyle name="Обычный 36" xfId="165"/>
    <cellStyle name="Обычный 37" xfId="166"/>
    <cellStyle name="Обычный 38" xfId="167"/>
    <cellStyle name="Обычный 39" xfId="168"/>
    <cellStyle name="Обычный 4" xfId="169"/>
    <cellStyle name="Обычный 40" xfId="170"/>
    <cellStyle name="Обычный 41" xfId="171"/>
    <cellStyle name="Обычный 42" xfId="172"/>
    <cellStyle name="Обычный 43" xfId="173"/>
    <cellStyle name="Обычный 44" xfId="174"/>
    <cellStyle name="Обычный 45" xfId="175"/>
    <cellStyle name="Обычный 46" xfId="176"/>
    <cellStyle name="Обычный 47" xfId="177"/>
    <cellStyle name="Обычный 48" xfId="178"/>
    <cellStyle name="Обычный 49" xfId="179"/>
    <cellStyle name="Обычный 5" xfId="180"/>
    <cellStyle name="Обычный 50" xfId="181"/>
    <cellStyle name="Обычный 51" xfId="182"/>
    <cellStyle name="Обычный 52" xfId="183"/>
    <cellStyle name="Обычный 53" xfId="184"/>
    <cellStyle name="Обычный 54" xfId="185"/>
    <cellStyle name="Обычный 55" xfId="186"/>
    <cellStyle name="Обычный 56" xfId="187"/>
    <cellStyle name="Обычный 57" xfId="188"/>
    <cellStyle name="Обычный 58" xfId="189"/>
    <cellStyle name="Обычный 59" xfId="190"/>
    <cellStyle name="Обычный 6" xfId="191"/>
    <cellStyle name="Обычный 60" xfId="192"/>
    <cellStyle name="Обычный 61" xfId="193"/>
    <cellStyle name="Обычный 62" xfId="194"/>
    <cellStyle name="Обычный 63" xfId="195"/>
    <cellStyle name="Обычный 64" xfId="196"/>
    <cellStyle name="Обычный 65" xfId="197"/>
    <cellStyle name="Обычный 66" xfId="198"/>
    <cellStyle name="Обычный 67" xfId="199"/>
    <cellStyle name="Обычный 68" xfId="200"/>
    <cellStyle name="Обычный 69" xfId="201"/>
    <cellStyle name="Обычный 7" xfId="202"/>
    <cellStyle name="Обычный 70" xfId="203"/>
    <cellStyle name="Обычный 71" xfId="204"/>
    <cellStyle name="Обычный 72" xfId="205"/>
    <cellStyle name="Обычный 73" xfId="206"/>
    <cellStyle name="Обычный 74" xfId="207"/>
    <cellStyle name="Обычный 75" xfId="208"/>
    <cellStyle name="Обычный 76" xfId="209"/>
    <cellStyle name="Обычный 77" xfId="210"/>
    <cellStyle name="Обычный 78" xfId="211"/>
    <cellStyle name="Обычный 79" xfId="212"/>
    <cellStyle name="Обычный 8" xfId="213"/>
    <cellStyle name="Обычный 80" xfId="214"/>
    <cellStyle name="Обычный 81" xfId="215"/>
    <cellStyle name="Обычный 82" xfId="216"/>
    <cellStyle name="Обычный 83" xfId="217"/>
    <cellStyle name="Обычный 84" xfId="218"/>
    <cellStyle name="Обычный 85" xfId="219"/>
    <cellStyle name="Обычный 86" xfId="220"/>
    <cellStyle name="Обычный 87" xfId="221"/>
    <cellStyle name="Обычный 88" xfId="222"/>
    <cellStyle name="Обычный 89" xfId="223"/>
    <cellStyle name="Обычный 9" xfId="224"/>
    <cellStyle name="Обычный 90" xfId="5"/>
    <cellStyle name="Обычный 91" xfId="225"/>
    <cellStyle name="Обычный 92" xfId="226"/>
    <cellStyle name="Обычный 93" xfId="227"/>
    <cellStyle name="Обычный 94" xfId="228"/>
    <cellStyle name="Обычный 95" xfId="229"/>
    <cellStyle name="Обычный 96" xfId="230"/>
    <cellStyle name="Обычный 97" xfId="231"/>
    <cellStyle name="Обычный 98" xfId="232"/>
    <cellStyle name="Обычный 99" xfId="233"/>
    <cellStyle name="Плохой 2" xfId="234"/>
    <cellStyle name="Пояснение 2" xfId="235"/>
    <cellStyle name="Примечание 2" xfId="240"/>
    <cellStyle name="Примечание 3" xfId="236"/>
    <cellStyle name="Процентный 2" xfId="241"/>
    <cellStyle name="Связанная ячейка 2" xfId="237"/>
    <cellStyle name="Текст предупреждения 2" xfId="238"/>
    <cellStyle name="Финансовый" xfId="311" builtinId="3"/>
    <cellStyle name="Хороший" xfId="310" builtinId="26"/>
    <cellStyle name="Хороший 2" xfId="239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6"/>
  <sheetViews>
    <sheetView topLeftCell="B1" zoomScaleNormal="100" workbookViewId="0">
      <selection activeCell="D7" sqref="D7:E8"/>
    </sheetView>
  </sheetViews>
  <sheetFormatPr defaultColWidth="9.140625" defaultRowHeight="15" x14ac:dyDescent="0.25"/>
  <cols>
    <col min="1" max="1" width="31.140625" style="3" customWidth="1"/>
    <col min="2" max="2" width="60" style="3" customWidth="1"/>
    <col min="3" max="4" width="21.7109375" style="359" customWidth="1"/>
    <col min="5" max="5" width="22.42578125" style="359" customWidth="1"/>
    <col min="6" max="6" width="9.140625" style="1" customWidth="1"/>
    <col min="7" max="7" width="25.5703125" style="299" customWidth="1"/>
    <col min="8" max="8" width="23" style="313" customWidth="1"/>
    <col min="9" max="9" width="19.28515625" style="313" customWidth="1"/>
    <col min="10" max="10" width="12.5703125" style="313" customWidth="1"/>
    <col min="11" max="11" width="13.7109375" style="1" customWidth="1"/>
    <col min="12" max="12" width="10.85546875" style="1" customWidth="1"/>
    <col min="13" max="13" width="12.85546875" style="1" bestFit="1" customWidth="1"/>
    <col min="14" max="14" width="14" style="1" customWidth="1"/>
    <col min="15" max="15" width="18" style="1" customWidth="1"/>
    <col min="16" max="16" width="11.140625" style="1" bestFit="1" customWidth="1"/>
    <col min="17" max="17" width="9.140625" style="1" customWidth="1"/>
    <col min="18" max="18" width="14.85546875" style="1" customWidth="1"/>
    <col min="19" max="23" width="9.140625" style="1"/>
    <col min="24" max="16384" width="9.140625" style="39"/>
  </cols>
  <sheetData>
    <row r="2" spans="1:23" ht="18.75" x14ac:dyDescent="0.3">
      <c r="D2" s="382" t="s">
        <v>690</v>
      </c>
      <c r="E2" s="382"/>
    </row>
    <row r="3" spans="1:23" ht="18.75" x14ac:dyDescent="0.3">
      <c r="D3" s="382" t="s">
        <v>16</v>
      </c>
      <c r="E3" s="382"/>
    </row>
    <row r="4" spans="1:23" ht="18.75" x14ac:dyDescent="0.3">
      <c r="D4" s="382" t="s">
        <v>17</v>
      </c>
      <c r="E4" s="382"/>
    </row>
    <row r="5" spans="1:23" ht="18.75" x14ac:dyDescent="0.3">
      <c r="D5" s="382" t="s">
        <v>18</v>
      </c>
      <c r="E5" s="382"/>
    </row>
    <row r="6" spans="1:23" ht="18.75" x14ac:dyDescent="0.3">
      <c r="D6" s="382" t="s">
        <v>19</v>
      </c>
      <c r="E6" s="382"/>
    </row>
    <row r="7" spans="1:23" ht="18.75" x14ac:dyDescent="0.3">
      <c r="D7" s="382" t="s">
        <v>697</v>
      </c>
      <c r="E7" s="382"/>
    </row>
    <row r="8" spans="1:23" ht="18.75" x14ac:dyDescent="0.3">
      <c r="D8" s="382" t="s">
        <v>698</v>
      </c>
      <c r="E8" s="382"/>
    </row>
    <row r="11" spans="1:23" ht="36" customHeight="1" x14ac:dyDescent="0.25">
      <c r="A11" s="383" t="s">
        <v>439</v>
      </c>
      <c r="B11" s="383"/>
      <c r="C11" s="383"/>
      <c r="D11" s="383"/>
      <c r="E11" s="383"/>
    </row>
    <row r="13" spans="1:23" x14ac:dyDescent="0.25">
      <c r="E13" s="363"/>
    </row>
    <row r="14" spans="1:23" s="5" customFormat="1" ht="27" customHeight="1" x14ac:dyDescent="0.25">
      <c r="A14" s="4" t="s">
        <v>20</v>
      </c>
      <c r="B14" s="4" t="s">
        <v>21</v>
      </c>
      <c r="C14" s="360" t="s">
        <v>22</v>
      </c>
      <c r="D14" s="360" t="s">
        <v>152</v>
      </c>
      <c r="E14" s="360" t="s">
        <v>434</v>
      </c>
      <c r="F14" s="91"/>
      <c r="G14" s="337"/>
      <c r="H14" s="338"/>
      <c r="I14" s="338"/>
      <c r="J14" s="338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15.75" x14ac:dyDescent="0.25">
      <c r="A15" s="6" t="s">
        <v>23</v>
      </c>
      <c r="B15" s="7" t="s">
        <v>24</v>
      </c>
      <c r="C15" s="37">
        <f>SUM(C16:C20)</f>
        <v>2192375178.9399996</v>
      </c>
      <c r="D15" s="37">
        <f>SUM(D16:D20)</f>
        <v>1953111238.4200001</v>
      </c>
      <c r="E15" s="37">
        <f>SUM(E16:E20)</f>
        <v>1995875800</v>
      </c>
    </row>
    <row r="16" spans="1:23" ht="96" customHeight="1" x14ac:dyDescent="0.25">
      <c r="A16" s="8" t="s">
        <v>25</v>
      </c>
      <c r="B16" s="9" t="s">
        <v>26</v>
      </c>
      <c r="C16" s="354">
        <f>1863711300+15882779.75+28925600+41533631.09+224490220.26+993148.14-10973500.3</f>
        <v>2164563178.9399996</v>
      </c>
      <c r="D16" s="354">
        <f>1872652600+52638638.42</f>
        <v>1925291238.4200001</v>
      </c>
      <c r="E16" s="354">
        <v>1968045800</v>
      </c>
      <c r="G16" s="365"/>
      <c r="H16" s="343"/>
      <c r="I16" s="299"/>
    </row>
    <row r="17" spans="1:23" ht="150" x14ac:dyDescent="0.25">
      <c r="A17" s="8" t="s">
        <v>27</v>
      </c>
      <c r="B17" s="9" t="s">
        <v>28</v>
      </c>
      <c r="C17" s="354">
        <v>312000</v>
      </c>
      <c r="D17" s="354">
        <v>320000</v>
      </c>
      <c r="E17" s="354">
        <v>330000</v>
      </c>
    </row>
    <row r="18" spans="1:23" ht="75" x14ac:dyDescent="0.25">
      <c r="A18" s="8" t="s">
        <v>29</v>
      </c>
      <c r="B18" s="9" t="s">
        <v>30</v>
      </c>
      <c r="C18" s="354">
        <v>1500000</v>
      </c>
      <c r="D18" s="354">
        <v>1500000</v>
      </c>
      <c r="E18" s="354">
        <v>1500000</v>
      </c>
    </row>
    <row r="19" spans="1:23" ht="135" x14ac:dyDescent="0.25">
      <c r="A19" s="8" t="s">
        <v>31</v>
      </c>
      <c r="B19" s="9" t="s">
        <v>32</v>
      </c>
      <c r="C19" s="354">
        <v>16500000</v>
      </c>
      <c r="D19" s="354">
        <v>16500000</v>
      </c>
      <c r="E19" s="354">
        <v>16500000</v>
      </c>
    </row>
    <row r="20" spans="1:23" ht="105" x14ac:dyDescent="0.25">
      <c r="A20" s="45" t="s">
        <v>155</v>
      </c>
      <c r="B20" s="44" t="s">
        <v>154</v>
      </c>
      <c r="C20" s="354">
        <v>9500000</v>
      </c>
      <c r="D20" s="354">
        <v>9500000</v>
      </c>
      <c r="E20" s="354">
        <v>9500000</v>
      </c>
    </row>
    <row r="21" spans="1:23" s="12" customFormat="1" ht="47.25" x14ac:dyDescent="0.25">
      <c r="A21" s="10" t="s">
        <v>442</v>
      </c>
      <c r="B21" s="11" t="s">
        <v>33</v>
      </c>
      <c r="C21" s="37">
        <f>SUM(C22:C25)</f>
        <v>12439472.41</v>
      </c>
      <c r="D21" s="37">
        <f>SUM(D22:D25)</f>
        <v>13236915.870000001</v>
      </c>
      <c r="E21" s="37">
        <f>SUM(E22:E25)</f>
        <v>16809271.580000002</v>
      </c>
      <c r="F21" s="64"/>
      <c r="G21" s="312"/>
      <c r="H21" s="339"/>
      <c r="I21" s="339"/>
      <c r="J21" s="339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32.75" customHeight="1" x14ac:dyDescent="0.25">
      <c r="A22" s="13" t="s">
        <v>34</v>
      </c>
      <c r="B22" s="308" t="s">
        <v>611</v>
      </c>
      <c r="C22" s="355">
        <f>5153980+737977.54</f>
        <v>5891957.54</v>
      </c>
      <c r="D22" s="355">
        <f>5153980+1161123.08</f>
        <v>6315103.0800000001</v>
      </c>
      <c r="E22" s="355">
        <f>5153980+2885140.08</f>
        <v>8039120.0800000001</v>
      </c>
      <c r="H22" s="299"/>
      <c r="I22" s="299"/>
      <c r="R22" s="350"/>
    </row>
    <row r="23" spans="1:23" ht="153.75" customHeight="1" x14ac:dyDescent="0.25">
      <c r="A23" s="13" t="s">
        <v>35</v>
      </c>
      <c r="B23" s="308" t="s">
        <v>612</v>
      </c>
      <c r="C23" s="355">
        <f>28530+12395.41</f>
        <v>40925.410000000003</v>
      </c>
      <c r="D23" s="355">
        <f>28530+14608.17</f>
        <v>43138.17</v>
      </c>
      <c r="E23" s="355">
        <f>28530+24952.25</f>
        <v>53482.25</v>
      </c>
      <c r="H23" s="299"/>
      <c r="I23" s="299"/>
      <c r="R23" s="350"/>
    </row>
    <row r="24" spans="1:23" ht="141.75" x14ac:dyDescent="0.25">
      <c r="A24" s="13" t="s">
        <v>36</v>
      </c>
      <c r="B24" s="308" t="s">
        <v>613</v>
      </c>
      <c r="C24" s="355">
        <f>6863080+420578.07</f>
        <v>7283658.0700000003</v>
      </c>
      <c r="D24" s="355">
        <f>6863080+842638.74</f>
        <v>7705718.7400000002</v>
      </c>
      <c r="E24" s="355">
        <f>6863080+2843551.12</f>
        <v>9706631.120000001</v>
      </c>
      <c r="H24" s="299"/>
      <c r="I24" s="299"/>
      <c r="R24" s="350"/>
    </row>
    <row r="25" spans="1:23" ht="135.75" customHeight="1" x14ac:dyDescent="0.25">
      <c r="A25" s="13" t="s">
        <v>37</v>
      </c>
      <c r="B25" s="308" t="s">
        <v>614</v>
      </c>
      <c r="C25" s="355">
        <f>-646280-130788.61</f>
        <v>-777068.61</v>
      </c>
      <c r="D25" s="355">
        <f>-646280-180764.12</f>
        <v>-827044.12</v>
      </c>
      <c r="E25" s="355">
        <f>-646280-343681.87</f>
        <v>-989961.87</v>
      </c>
      <c r="H25" s="299"/>
      <c r="I25" s="299"/>
      <c r="R25" s="350"/>
    </row>
    <row r="26" spans="1:23" ht="15.75" x14ac:dyDescent="0.25">
      <c r="A26" s="6" t="s">
        <v>38</v>
      </c>
      <c r="B26" s="7" t="s">
        <v>39</v>
      </c>
      <c r="C26" s="37">
        <f>C27+C31+C32</f>
        <v>211387090</v>
      </c>
      <c r="D26" s="37">
        <f>D27+D31+D32</f>
        <v>220228600</v>
      </c>
      <c r="E26" s="37">
        <f>E27+E31+E32</f>
        <v>229003750</v>
      </c>
    </row>
    <row r="27" spans="1:23" s="17" customFormat="1" ht="30" x14ac:dyDescent="0.25">
      <c r="A27" s="14" t="s">
        <v>40</v>
      </c>
      <c r="B27" s="15" t="s">
        <v>41</v>
      </c>
      <c r="C27" s="16">
        <f>SUM(C28:C30)</f>
        <v>200182000</v>
      </c>
      <c r="D27" s="16">
        <f>SUM(D28:D30)</f>
        <v>208589000</v>
      </c>
      <c r="E27" s="16">
        <f>SUM(E28:E30)</f>
        <v>216933000</v>
      </c>
      <c r="F27" s="1"/>
      <c r="G27" s="299"/>
      <c r="H27" s="313"/>
      <c r="I27" s="313"/>
      <c r="J27" s="3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45" x14ac:dyDescent="0.25">
      <c r="A28" s="8" t="s">
        <v>42</v>
      </c>
      <c r="B28" s="9" t="s">
        <v>43</v>
      </c>
      <c r="C28" s="356">
        <v>112840000</v>
      </c>
      <c r="D28" s="356">
        <v>117579000</v>
      </c>
      <c r="E28" s="356">
        <v>122282000</v>
      </c>
      <c r="H28" s="265"/>
      <c r="I28" s="265"/>
    </row>
    <row r="29" spans="1:23" ht="88.5" customHeight="1" x14ac:dyDescent="0.25">
      <c r="A29" s="18" t="s">
        <v>44</v>
      </c>
      <c r="B29" s="18" t="s">
        <v>45</v>
      </c>
      <c r="C29" s="357">
        <v>87342000</v>
      </c>
      <c r="D29" s="357">
        <v>91010000</v>
      </c>
      <c r="E29" s="357">
        <v>94651000</v>
      </c>
      <c r="G29" s="340"/>
      <c r="H29" s="266"/>
      <c r="I29" s="266"/>
    </row>
    <row r="30" spans="1:23" ht="30" x14ac:dyDescent="0.25">
      <c r="A30" s="46" t="s">
        <v>156</v>
      </c>
      <c r="B30" s="47" t="s">
        <v>157</v>
      </c>
      <c r="C30" s="357">
        <v>0</v>
      </c>
      <c r="D30" s="357">
        <v>0</v>
      </c>
      <c r="E30" s="357">
        <v>0</v>
      </c>
      <c r="G30" s="267"/>
      <c r="H30" s="267"/>
      <c r="I30" s="267"/>
    </row>
    <row r="31" spans="1:23" ht="30" x14ac:dyDescent="0.25">
      <c r="A31" s="8" t="s">
        <v>46</v>
      </c>
      <c r="B31" s="9" t="s">
        <v>47</v>
      </c>
      <c r="C31" s="16">
        <v>897590</v>
      </c>
      <c r="D31" s="16">
        <v>899200</v>
      </c>
      <c r="E31" s="16">
        <v>900750</v>
      </c>
    </row>
    <row r="32" spans="1:23" ht="75" x14ac:dyDescent="0.25">
      <c r="A32" s="8" t="s">
        <v>48</v>
      </c>
      <c r="B32" s="9" t="s">
        <v>49</v>
      </c>
      <c r="C32" s="16">
        <v>10307500</v>
      </c>
      <c r="D32" s="16">
        <v>10740400</v>
      </c>
      <c r="E32" s="16">
        <v>11170000</v>
      </c>
    </row>
    <row r="33" spans="1:6" ht="15.75" x14ac:dyDescent="0.25">
      <c r="A33" s="10" t="s">
        <v>50</v>
      </c>
      <c r="B33" s="11" t="s">
        <v>51</v>
      </c>
      <c r="C33" s="37">
        <f>C34+C35</f>
        <v>244000</v>
      </c>
      <c r="D33" s="37">
        <f>D34+D35</f>
        <v>244000</v>
      </c>
      <c r="E33" s="37">
        <f>E34+E35</f>
        <v>244000</v>
      </c>
    </row>
    <row r="34" spans="1:6" ht="60" x14ac:dyDescent="0.25">
      <c r="A34" s="19" t="s">
        <v>443</v>
      </c>
      <c r="B34" s="9" t="s">
        <v>52</v>
      </c>
      <c r="C34" s="16">
        <v>200000</v>
      </c>
      <c r="D34" s="16">
        <v>200000</v>
      </c>
      <c r="E34" s="16">
        <v>200000</v>
      </c>
    </row>
    <row r="35" spans="1:6" ht="60" x14ac:dyDescent="0.25">
      <c r="A35" s="19" t="s">
        <v>444</v>
      </c>
      <c r="B35" s="9" t="s">
        <v>53</v>
      </c>
      <c r="C35" s="16">
        <v>44000</v>
      </c>
      <c r="D35" s="16">
        <v>44000</v>
      </c>
      <c r="E35" s="16">
        <v>44000</v>
      </c>
    </row>
    <row r="36" spans="1:6" ht="31.5" x14ac:dyDescent="0.25">
      <c r="A36" s="6" t="s">
        <v>54</v>
      </c>
      <c r="B36" s="7" t="s">
        <v>55</v>
      </c>
      <c r="C36" s="37">
        <f>C37</f>
        <v>34496000</v>
      </c>
      <c r="D36" s="37">
        <f>D37</f>
        <v>35945000</v>
      </c>
      <c r="E36" s="37">
        <f>E37</f>
        <v>37383000</v>
      </c>
    </row>
    <row r="37" spans="1:6" ht="45" x14ac:dyDescent="0.25">
      <c r="A37" s="8" t="s">
        <v>56</v>
      </c>
      <c r="B37" s="9" t="s">
        <v>57</v>
      </c>
      <c r="C37" s="16">
        <v>34496000</v>
      </c>
      <c r="D37" s="16">
        <v>35945000</v>
      </c>
      <c r="E37" s="16">
        <v>37383000</v>
      </c>
    </row>
    <row r="38" spans="1:6" ht="15.75" x14ac:dyDescent="0.25">
      <c r="A38" s="6" t="s">
        <v>58</v>
      </c>
      <c r="B38" s="7" t="s">
        <v>59</v>
      </c>
      <c r="C38" s="37">
        <f>C39+C40</f>
        <v>8408000</v>
      </c>
      <c r="D38" s="37">
        <f>D39+D40</f>
        <v>8761000</v>
      </c>
      <c r="E38" s="37">
        <f>E39+E40</f>
        <v>9150000</v>
      </c>
    </row>
    <row r="39" spans="1:6" ht="90" x14ac:dyDescent="0.25">
      <c r="A39" s="8" t="s">
        <v>445</v>
      </c>
      <c r="B39" s="9" t="s">
        <v>60</v>
      </c>
      <c r="C39" s="16">
        <v>8358000</v>
      </c>
      <c r="D39" s="16">
        <v>8711000</v>
      </c>
      <c r="E39" s="16">
        <v>9100000</v>
      </c>
    </row>
    <row r="40" spans="1:6" ht="45" x14ac:dyDescent="0.25">
      <c r="A40" s="8" t="s">
        <v>446</v>
      </c>
      <c r="B40" s="9" t="s">
        <v>1</v>
      </c>
      <c r="C40" s="16">
        <v>50000</v>
      </c>
      <c r="D40" s="16">
        <v>50000</v>
      </c>
      <c r="E40" s="16">
        <v>50000</v>
      </c>
    </row>
    <row r="41" spans="1:6" ht="63" x14ac:dyDescent="0.25">
      <c r="A41" s="6" t="s">
        <v>61</v>
      </c>
      <c r="B41" s="7" t="s">
        <v>62</v>
      </c>
      <c r="C41" s="37">
        <f>C42+C43</f>
        <v>225005750</v>
      </c>
      <c r="D41" s="37">
        <f>D42+D43</f>
        <v>224598040</v>
      </c>
      <c r="E41" s="37">
        <f>E42+E43</f>
        <v>224765150</v>
      </c>
      <c r="F41" s="54"/>
    </row>
    <row r="42" spans="1:6" ht="90" x14ac:dyDescent="0.25">
      <c r="A42" s="8" t="s">
        <v>63</v>
      </c>
      <c r="B42" s="9" t="s">
        <v>64</v>
      </c>
      <c r="C42" s="16">
        <v>185600000</v>
      </c>
      <c r="D42" s="16">
        <v>185600000</v>
      </c>
      <c r="E42" s="16">
        <v>185600000</v>
      </c>
    </row>
    <row r="43" spans="1:6" ht="126" x14ac:dyDescent="0.25">
      <c r="A43" s="6" t="s">
        <v>65</v>
      </c>
      <c r="B43" s="7" t="s">
        <v>66</v>
      </c>
      <c r="C43" s="37">
        <f>C44+C45+C46+C48+C47</f>
        <v>39405750</v>
      </c>
      <c r="D43" s="37">
        <f>D44+D45+D46+D48+D47</f>
        <v>38998040</v>
      </c>
      <c r="E43" s="37">
        <f>E44+E45+E46+E48+E47</f>
        <v>39165150</v>
      </c>
    </row>
    <row r="44" spans="1:6" ht="116.25" customHeight="1" x14ac:dyDescent="0.25">
      <c r="A44" s="8" t="s">
        <v>67</v>
      </c>
      <c r="B44" s="9" t="s">
        <v>2</v>
      </c>
      <c r="C44" s="16">
        <v>6000000</v>
      </c>
      <c r="D44" s="16">
        <v>6000000</v>
      </c>
      <c r="E44" s="16">
        <v>6000000</v>
      </c>
    </row>
    <row r="45" spans="1:6" ht="120" x14ac:dyDescent="0.25">
      <c r="A45" s="8" t="s">
        <v>68</v>
      </c>
      <c r="B45" s="9" t="s">
        <v>69</v>
      </c>
      <c r="C45" s="16">
        <v>30300000</v>
      </c>
      <c r="D45" s="16">
        <v>30300000</v>
      </c>
      <c r="E45" s="16">
        <v>30300000</v>
      </c>
    </row>
    <row r="46" spans="1:6" ht="92.25" customHeight="1" x14ac:dyDescent="0.25">
      <c r="A46" s="8" t="s">
        <v>70</v>
      </c>
      <c r="B46" s="9" t="s">
        <v>71</v>
      </c>
      <c r="C46" s="16">
        <v>770000</v>
      </c>
      <c r="D46" s="16">
        <v>770000</v>
      </c>
      <c r="E46" s="16">
        <v>770000</v>
      </c>
    </row>
    <row r="47" spans="1:6" ht="90" x14ac:dyDescent="0.25">
      <c r="A47" s="8" t="s">
        <v>72</v>
      </c>
      <c r="B47" s="9" t="s">
        <v>73</v>
      </c>
      <c r="C47" s="16">
        <v>257000</v>
      </c>
      <c r="D47" s="16">
        <v>257000</v>
      </c>
      <c r="E47" s="16">
        <v>257000</v>
      </c>
    </row>
    <row r="48" spans="1:6" ht="60" x14ac:dyDescent="0.25">
      <c r="A48" s="8" t="s">
        <v>74</v>
      </c>
      <c r="B48" s="9" t="s">
        <v>75</v>
      </c>
      <c r="C48" s="16">
        <v>2078750</v>
      </c>
      <c r="D48" s="16">
        <v>1671040</v>
      </c>
      <c r="E48" s="16">
        <v>1838150</v>
      </c>
    </row>
    <row r="49" spans="1:9" ht="31.5" x14ac:dyDescent="0.25">
      <c r="A49" s="6" t="s">
        <v>465</v>
      </c>
      <c r="B49" s="7" t="s">
        <v>76</v>
      </c>
      <c r="C49" s="37">
        <f>SUM(C50:C54)</f>
        <v>16632236.369999999</v>
      </c>
      <c r="D49" s="37">
        <f>SUM(D50:D54)</f>
        <v>29482310.269999996</v>
      </c>
      <c r="E49" s="37">
        <f>SUM(E50:E54)</f>
        <v>30661602.689999998</v>
      </c>
    </row>
    <row r="50" spans="1:9" ht="45" x14ac:dyDescent="0.25">
      <c r="A50" s="8" t="s">
        <v>158</v>
      </c>
      <c r="B50" s="9" t="s">
        <v>77</v>
      </c>
      <c r="C50" s="16">
        <f>4700000-2818994.16+4345374.16</f>
        <v>6226380</v>
      </c>
      <c r="D50" s="16">
        <f>4700000-2739991.92</f>
        <v>1960008.08</v>
      </c>
      <c r="E50" s="16">
        <f>4700000-2661591.59</f>
        <v>2038408.4100000001</v>
      </c>
      <c r="H50" s="299"/>
      <c r="I50" s="299"/>
    </row>
    <row r="51" spans="1:9" ht="45" x14ac:dyDescent="0.25">
      <c r="A51" s="8" t="s">
        <v>159</v>
      </c>
      <c r="B51" s="9" t="s">
        <v>78</v>
      </c>
      <c r="C51" s="16">
        <f>26000-143.69-26816.31</f>
        <v>-960</v>
      </c>
      <c r="D51" s="16">
        <f>26000+942.28</f>
        <v>26942.28</v>
      </c>
      <c r="E51" s="16">
        <f>26000+2019.97</f>
        <v>28019.97</v>
      </c>
      <c r="H51" s="299"/>
      <c r="I51" s="299"/>
    </row>
    <row r="52" spans="1:9" ht="37.5" customHeight="1" x14ac:dyDescent="0.25">
      <c r="A52" s="8" t="s">
        <v>160</v>
      </c>
      <c r="B52" s="9" t="s">
        <v>79</v>
      </c>
      <c r="C52" s="16">
        <f>8300000+9516102.77-10110486.4</f>
        <v>7705616.3699999992</v>
      </c>
      <c r="D52" s="16">
        <f>8300000+10264379.08</f>
        <v>18564379.079999998</v>
      </c>
      <c r="E52" s="16">
        <f>8300000+11006954.25</f>
        <v>19306954.25</v>
      </c>
      <c r="H52" s="299"/>
      <c r="I52" s="299"/>
    </row>
    <row r="53" spans="1:9" ht="24" customHeight="1" x14ac:dyDescent="0.25">
      <c r="A53" s="8" t="s">
        <v>161</v>
      </c>
      <c r="B53" s="9" t="s">
        <v>150</v>
      </c>
      <c r="C53" s="16">
        <f>100000+53568.87+294091.13</f>
        <v>447660</v>
      </c>
      <c r="D53" s="16">
        <f>100000+60018.77</f>
        <v>160018.76999999999</v>
      </c>
      <c r="E53" s="16">
        <f>100000+66419.52</f>
        <v>166419.52000000002</v>
      </c>
      <c r="H53" s="299"/>
      <c r="I53" s="299"/>
    </row>
    <row r="54" spans="1:9" ht="45" x14ac:dyDescent="0.25">
      <c r="A54" s="8" t="s">
        <v>162</v>
      </c>
      <c r="B54" s="48" t="s">
        <v>149</v>
      </c>
      <c r="C54" s="16">
        <f>8700000-282570-6163890</f>
        <v>2253540</v>
      </c>
      <c r="D54" s="16">
        <f>8700000+70962.06</f>
        <v>8770962.0600000005</v>
      </c>
      <c r="E54" s="16">
        <f>8700000+421800.54</f>
        <v>9121800.5399999991</v>
      </c>
      <c r="H54" s="299"/>
      <c r="I54" s="299"/>
    </row>
    <row r="55" spans="1:9" ht="31.5" x14ac:dyDescent="0.25">
      <c r="A55" s="6" t="s">
        <v>466</v>
      </c>
      <c r="B55" s="7" t="s">
        <v>463</v>
      </c>
      <c r="C55" s="37">
        <f>C56+C80</f>
        <v>80743476.719999999</v>
      </c>
      <c r="D55" s="37">
        <f>D56+D80</f>
        <v>62314620</v>
      </c>
      <c r="E55" s="37">
        <f>E56+E80</f>
        <v>62314620</v>
      </c>
    </row>
    <row r="56" spans="1:9" ht="31.5" x14ac:dyDescent="0.25">
      <c r="A56" s="6" t="s">
        <v>80</v>
      </c>
      <c r="B56" s="7" t="s">
        <v>81</v>
      </c>
      <c r="C56" s="37">
        <f>SUM(C57:C79)</f>
        <v>63372000</v>
      </c>
      <c r="D56" s="37">
        <f>SUM(D57:D79)</f>
        <v>62314620</v>
      </c>
      <c r="E56" s="37">
        <f>SUM(E57:E79)</f>
        <v>62314620</v>
      </c>
    </row>
    <row r="57" spans="1:9" ht="60" x14ac:dyDescent="0.25">
      <c r="A57" s="8" t="s">
        <v>82</v>
      </c>
      <c r="B57" s="20" t="s">
        <v>83</v>
      </c>
      <c r="C57" s="16">
        <v>134640</v>
      </c>
      <c r="D57" s="16">
        <v>134640</v>
      </c>
      <c r="E57" s="16">
        <v>134640</v>
      </c>
    </row>
    <row r="58" spans="1:9" ht="45" x14ac:dyDescent="0.25">
      <c r="A58" s="8" t="s">
        <v>84</v>
      </c>
      <c r="B58" s="20" t="s">
        <v>85</v>
      </c>
      <c r="C58" s="16">
        <v>100800</v>
      </c>
      <c r="D58" s="16">
        <v>100800</v>
      </c>
      <c r="E58" s="16">
        <v>100800</v>
      </c>
    </row>
    <row r="59" spans="1:9" ht="45" x14ac:dyDescent="0.25">
      <c r="A59" s="8" t="s">
        <v>86</v>
      </c>
      <c r="B59" s="9" t="s">
        <v>87</v>
      </c>
      <c r="C59" s="16">
        <v>4166400</v>
      </c>
      <c r="D59" s="16">
        <v>4166400</v>
      </c>
      <c r="E59" s="16">
        <v>4166400</v>
      </c>
    </row>
    <row r="60" spans="1:9" ht="45" x14ac:dyDescent="0.25">
      <c r="A60" s="8" t="s">
        <v>153</v>
      </c>
      <c r="B60" s="43" t="s">
        <v>151</v>
      </c>
      <c r="C60" s="16">
        <v>16300000</v>
      </c>
      <c r="D60" s="16">
        <v>16300000</v>
      </c>
      <c r="E60" s="16">
        <v>16300000</v>
      </c>
    </row>
    <row r="61" spans="1:9" ht="45" x14ac:dyDescent="0.25">
      <c r="A61" s="8" t="s">
        <v>88</v>
      </c>
      <c r="B61" s="20" t="s">
        <v>89</v>
      </c>
      <c r="C61" s="16">
        <v>72000</v>
      </c>
      <c r="D61" s="16">
        <v>72000</v>
      </c>
      <c r="E61" s="16">
        <v>72000</v>
      </c>
    </row>
    <row r="62" spans="1:9" ht="60" x14ac:dyDescent="0.25">
      <c r="A62" s="8" t="s">
        <v>90</v>
      </c>
      <c r="B62" s="20" t="s">
        <v>91</v>
      </c>
      <c r="C62" s="16">
        <v>28800</v>
      </c>
      <c r="D62" s="16">
        <v>28800</v>
      </c>
      <c r="E62" s="16">
        <v>28800</v>
      </c>
    </row>
    <row r="63" spans="1:9" ht="45" x14ac:dyDescent="0.25">
      <c r="A63" s="8" t="s">
        <v>92</v>
      </c>
      <c r="B63" s="9" t="s">
        <v>93</v>
      </c>
      <c r="C63" s="16">
        <v>3776000</v>
      </c>
      <c r="D63" s="16">
        <v>3776000</v>
      </c>
      <c r="E63" s="16">
        <v>3776000</v>
      </c>
    </row>
    <row r="64" spans="1:9" ht="60" x14ac:dyDescent="0.25">
      <c r="A64" s="8" t="s">
        <v>94</v>
      </c>
      <c r="B64" s="9" t="s">
        <v>4</v>
      </c>
      <c r="C64" s="16">
        <v>154080</v>
      </c>
      <c r="D64" s="16">
        <v>154080</v>
      </c>
      <c r="E64" s="16">
        <v>154080</v>
      </c>
    </row>
    <row r="65" spans="1:10" ht="60" x14ac:dyDescent="0.25">
      <c r="A65" s="8" t="s">
        <v>95</v>
      </c>
      <c r="B65" s="9" t="s">
        <v>5</v>
      </c>
      <c r="C65" s="16">
        <v>93600</v>
      </c>
      <c r="D65" s="16">
        <v>93600</v>
      </c>
      <c r="E65" s="16">
        <v>93600</v>
      </c>
    </row>
    <row r="66" spans="1:10" ht="60" x14ac:dyDescent="0.25">
      <c r="A66" s="8" t="s">
        <v>96</v>
      </c>
      <c r="B66" s="9" t="s">
        <v>6</v>
      </c>
      <c r="C66" s="16">
        <v>57600</v>
      </c>
      <c r="D66" s="16">
        <v>57600</v>
      </c>
      <c r="E66" s="16">
        <v>57600</v>
      </c>
    </row>
    <row r="67" spans="1:10" ht="45" x14ac:dyDescent="0.25">
      <c r="A67" s="8" t="s">
        <v>97</v>
      </c>
      <c r="B67" s="9" t="s">
        <v>7</v>
      </c>
      <c r="C67" s="16">
        <v>436460</v>
      </c>
      <c r="D67" s="16">
        <v>436460</v>
      </c>
      <c r="E67" s="16">
        <v>436460</v>
      </c>
    </row>
    <row r="68" spans="1:10" ht="45" x14ac:dyDescent="0.25">
      <c r="A68" s="8" t="s">
        <v>98</v>
      </c>
      <c r="B68" s="9" t="s">
        <v>99</v>
      </c>
      <c r="C68" s="16">
        <f>4826880+541380</f>
        <v>5368260</v>
      </c>
      <c r="D68" s="16">
        <v>4826880</v>
      </c>
      <c r="E68" s="16">
        <v>4826880</v>
      </c>
      <c r="G68" s="368"/>
    </row>
    <row r="69" spans="1:10" ht="45" x14ac:dyDescent="0.25">
      <c r="A69" s="8" t="s">
        <v>100</v>
      </c>
      <c r="B69" s="9" t="s">
        <v>101</v>
      </c>
      <c r="C69" s="16">
        <v>3366400</v>
      </c>
      <c r="D69" s="16">
        <v>3366400</v>
      </c>
      <c r="E69" s="16">
        <v>3366400</v>
      </c>
    </row>
    <row r="70" spans="1:10" ht="45" x14ac:dyDescent="0.25">
      <c r="A70" s="8" t="s">
        <v>691</v>
      </c>
      <c r="B70" s="9" t="s">
        <v>692</v>
      </c>
      <c r="C70" s="16">
        <v>516000</v>
      </c>
      <c r="D70" s="16">
        <v>0</v>
      </c>
      <c r="E70" s="16">
        <v>0</v>
      </c>
      <c r="G70" s="368"/>
    </row>
    <row r="71" spans="1:10" ht="45" x14ac:dyDescent="0.25">
      <c r="A71" s="8" t="s">
        <v>102</v>
      </c>
      <c r="B71" s="9" t="s">
        <v>103</v>
      </c>
      <c r="C71" s="16">
        <v>879360</v>
      </c>
      <c r="D71" s="16">
        <v>879360</v>
      </c>
      <c r="E71" s="16">
        <v>879360</v>
      </c>
    </row>
    <row r="72" spans="1:10" ht="60" x14ac:dyDescent="0.25">
      <c r="A72" s="8" t="s">
        <v>104</v>
      </c>
      <c r="B72" s="9" t="s">
        <v>3</v>
      </c>
      <c r="C72" s="16">
        <v>336960</v>
      </c>
      <c r="D72" s="16">
        <v>336960</v>
      </c>
      <c r="E72" s="16">
        <v>336960</v>
      </c>
    </row>
    <row r="73" spans="1:10" ht="45" x14ac:dyDescent="0.25">
      <c r="A73" s="8" t="s">
        <v>105</v>
      </c>
      <c r="B73" s="9" t="s">
        <v>106</v>
      </c>
      <c r="C73" s="16">
        <v>6549760</v>
      </c>
      <c r="D73" s="16">
        <v>6549760</v>
      </c>
      <c r="E73" s="16">
        <v>6549760</v>
      </c>
    </row>
    <row r="74" spans="1:10" ht="45" x14ac:dyDescent="0.25">
      <c r="A74" s="8" t="s">
        <v>107</v>
      </c>
      <c r="B74" s="9" t="s">
        <v>108</v>
      </c>
      <c r="C74" s="16">
        <v>2496000</v>
      </c>
      <c r="D74" s="16">
        <v>2496000</v>
      </c>
      <c r="E74" s="16">
        <v>2496000</v>
      </c>
    </row>
    <row r="75" spans="1:10" ht="45" x14ac:dyDescent="0.25">
      <c r="A75" s="8" t="s">
        <v>109</v>
      </c>
      <c r="B75" s="9" t="s">
        <v>110</v>
      </c>
      <c r="C75" s="16">
        <v>5048320</v>
      </c>
      <c r="D75" s="16">
        <v>5048320</v>
      </c>
      <c r="E75" s="16">
        <v>5048320</v>
      </c>
    </row>
    <row r="76" spans="1:10" ht="45" x14ac:dyDescent="0.25">
      <c r="A76" s="8" t="s">
        <v>111</v>
      </c>
      <c r="B76" s="9" t="s">
        <v>112</v>
      </c>
      <c r="C76" s="16">
        <v>4652800</v>
      </c>
      <c r="D76" s="16">
        <v>4652800</v>
      </c>
      <c r="E76" s="16">
        <v>4652800</v>
      </c>
    </row>
    <row r="77" spans="1:10" ht="60" x14ac:dyDescent="0.25">
      <c r="A77" s="8" t="s">
        <v>113</v>
      </c>
      <c r="B77" s="9" t="s">
        <v>8</v>
      </c>
      <c r="C77" s="16">
        <v>551040</v>
      </c>
      <c r="D77" s="16">
        <v>551040</v>
      </c>
      <c r="E77" s="16">
        <v>551040</v>
      </c>
    </row>
    <row r="78" spans="1:10" ht="45" x14ac:dyDescent="0.25">
      <c r="A78" s="8" t="s">
        <v>114</v>
      </c>
      <c r="B78" s="9" t="s">
        <v>115</v>
      </c>
      <c r="C78" s="16">
        <v>3880960</v>
      </c>
      <c r="D78" s="16">
        <v>3880960</v>
      </c>
      <c r="E78" s="16">
        <v>3880960</v>
      </c>
    </row>
    <row r="79" spans="1:10" ht="45" x14ac:dyDescent="0.25">
      <c r="A79" s="8" t="s">
        <v>116</v>
      </c>
      <c r="B79" s="9" t="s">
        <v>117</v>
      </c>
      <c r="C79" s="16">
        <v>4405760</v>
      </c>
      <c r="D79" s="16">
        <v>4405760</v>
      </c>
      <c r="E79" s="16">
        <v>4405760</v>
      </c>
    </row>
    <row r="80" spans="1:10" ht="31.5" x14ac:dyDescent="0.25">
      <c r="A80" s="300" t="s">
        <v>588</v>
      </c>
      <c r="B80" s="11" t="s">
        <v>587</v>
      </c>
      <c r="C80" s="37">
        <f>156104.09+24500+8062062+8500000+13.87+628558.81+237.95</f>
        <v>17371476.719999999</v>
      </c>
      <c r="D80" s="37">
        <v>0</v>
      </c>
      <c r="E80" s="37">
        <v>0</v>
      </c>
      <c r="G80" s="368"/>
      <c r="H80" s="344"/>
      <c r="I80" s="344"/>
      <c r="J80" s="344"/>
    </row>
    <row r="81" spans="1:23" ht="47.25" x14ac:dyDescent="0.25">
      <c r="A81" s="6" t="s">
        <v>118</v>
      </c>
      <c r="B81" s="7" t="s">
        <v>119</v>
      </c>
      <c r="C81" s="37">
        <f>C82+C84</f>
        <v>3840000</v>
      </c>
      <c r="D81" s="37">
        <f>D82+D84</f>
        <v>3840000</v>
      </c>
      <c r="E81" s="37">
        <f>E82+E84</f>
        <v>3840000</v>
      </c>
    </row>
    <row r="82" spans="1:23" ht="126" x14ac:dyDescent="0.25">
      <c r="A82" s="6" t="s">
        <v>120</v>
      </c>
      <c r="B82" s="7" t="s">
        <v>121</v>
      </c>
      <c r="C82" s="37">
        <f>C83</f>
        <v>1110000</v>
      </c>
      <c r="D82" s="37">
        <f>D83</f>
        <v>1110000</v>
      </c>
      <c r="E82" s="37">
        <f>E83</f>
        <v>1110000</v>
      </c>
    </row>
    <row r="83" spans="1:23" ht="120.75" customHeight="1" x14ac:dyDescent="0.25">
      <c r="A83" s="49" t="s">
        <v>163</v>
      </c>
      <c r="B83" s="50" t="s">
        <v>9</v>
      </c>
      <c r="C83" s="16">
        <v>1110000</v>
      </c>
      <c r="D83" s="16">
        <v>1110000</v>
      </c>
      <c r="E83" s="16">
        <v>1110000</v>
      </c>
    </row>
    <row r="84" spans="1:23" ht="63" x14ac:dyDescent="0.25">
      <c r="A84" s="10" t="s">
        <v>122</v>
      </c>
      <c r="B84" s="7" t="s">
        <v>123</v>
      </c>
      <c r="C84" s="37">
        <f>C85+C86</f>
        <v>2730000</v>
      </c>
      <c r="D84" s="37">
        <f>D85+D86</f>
        <v>2730000</v>
      </c>
      <c r="E84" s="37">
        <f>E85+E86</f>
        <v>2730000</v>
      </c>
    </row>
    <row r="85" spans="1:23" ht="105" x14ac:dyDescent="0.25">
      <c r="A85" s="8" t="s">
        <v>447</v>
      </c>
      <c r="B85" s="9" t="s">
        <v>10</v>
      </c>
      <c r="C85" s="16">
        <v>100000</v>
      </c>
      <c r="D85" s="16">
        <v>100000</v>
      </c>
      <c r="E85" s="16">
        <v>100000</v>
      </c>
    </row>
    <row r="86" spans="1:23" ht="75" x14ac:dyDescent="0.25">
      <c r="A86" s="8" t="s">
        <v>687</v>
      </c>
      <c r="B86" s="9" t="s">
        <v>11</v>
      </c>
      <c r="C86" s="16">
        <v>2630000</v>
      </c>
      <c r="D86" s="16">
        <v>2630000</v>
      </c>
      <c r="E86" s="16">
        <v>2630000</v>
      </c>
    </row>
    <row r="87" spans="1:23" ht="15.75" hidden="1" x14ac:dyDescent="0.25">
      <c r="A87" s="10" t="s">
        <v>124</v>
      </c>
      <c r="B87" s="11" t="s">
        <v>125</v>
      </c>
      <c r="C87" s="37">
        <f>C88</f>
        <v>0</v>
      </c>
      <c r="D87" s="37">
        <f>D88</f>
        <v>0</v>
      </c>
      <c r="E87" s="37">
        <f>E88</f>
        <v>0</v>
      </c>
    </row>
    <row r="88" spans="1:23" ht="30" hidden="1" x14ac:dyDescent="0.25">
      <c r="A88" s="8" t="s">
        <v>126</v>
      </c>
      <c r="B88" s="9" t="s">
        <v>12</v>
      </c>
      <c r="C88" s="16"/>
      <c r="D88" s="16"/>
      <c r="E88" s="16"/>
    </row>
    <row r="89" spans="1:23" ht="15.75" x14ac:dyDescent="0.25">
      <c r="A89" s="300" t="s">
        <v>688</v>
      </c>
      <c r="B89" s="11" t="s">
        <v>689</v>
      </c>
      <c r="C89" s="16">
        <v>39604387.840000004</v>
      </c>
      <c r="D89" s="16">
        <v>0</v>
      </c>
      <c r="E89" s="16">
        <v>0</v>
      </c>
    </row>
    <row r="90" spans="1:23" ht="75" x14ac:dyDescent="0.25">
      <c r="A90" s="8" t="s">
        <v>686</v>
      </c>
      <c r="B90" s="9" t="s">
        <v>685</v>
      </c>
      <c r="C90" s="16">
        <v>39604387.840000004</v>
      </c>
      <c r="D90" s="16">
        <v>0</v>
      </c>
      <c r="E90" s="16">
        <v>0</v>
      </c>
      <c r="G90" s="345"/>
    </row>
    <row r="91" spans="1:23" ht="15.75" x14ac:dyDescent="0.25">
      <c r="A91" s="8"/>
      <c r="B91" s="21" t="s">
        <v>127</v>
      </c>
      <c r="C91" s="37">
        <f>C87+C81+C55+C49+C33+C41+C38+C36+C26+C15+C21+C89</f>
        <v>2825175592.2799997</v>
      </c>
      <c r="D91" s="37">
        <f>D87+D81+D55+D49+D33+D41+D38+D36+D26+D15+D21</f>
        <v>2551761724.5599999</v>
      </c>
      <c r="E91" s="37">
        <f>E87+E81+E55+E49+E33+E41+E38+E36+E26+E15+E21</f>
        <v>2610047194.27</v>
      </c>
      <c r="H91" s="299"/>
    </row>
    <row r="92" spans="1:23" ht="15.75" customHeight="1" x14ac:dyDescent="0.25">
      <c r="A92" s="22" t="s">
        <v>128</v>
      </c>
      <c r="B92" s="7" t="s">
        <v>129</v>
      </c>
      <c r="C92" s="37">
        <f>C93+C123+C125+C126+C127</f>
        <v>2084155317.6700006</v>
      </c>
      <c r="D92" s="37">
        <f>D93+D123+D126+D127</f>
        <v>1575697442.51</v>
      </c>
      <c r="E92" s="37">
        <f>E93+E123+E126+E127</f>
        <v>1592283301.51</v>
      </c>
    </row>
    <row r="93" spans="1:23" ht="47.25" customHeight="1" x14ac:dyDescent="0.25">
      <c r="A93" s="22" t="s">
        <v>130</v>
      </c>
      <c r="B93" s="7" t="s">
        <v>131</v>
      </c>
      <c r="C93" s="37">
        <f>C94+C96+C105+C119</f>
        <v>2118157756.1100001</v>
      </c>
      <c r="D93" s="37">
        <f>D94+D96+D105+D119</f>
        <v>1575697442.51</v>
      </c>
      <c r="E93" s="37">
        <f>E94+E96+E105+E119</f>
        <v>1592283301.51</v>
      </c>
      <c r="H93" s="299"/>
    </row>
    <row r="94" spans="1:23" ht="31.5" customHeight="1" x14ac:dyDescent="0.25">
      <c r="A94" s="22" t="s">
        <v>448</v>
      </c>
      <c r="B94" s="7" t="s">
        <v>132</v>
      </c>
      <c r="C94" s="37">
        <f>C95</f>
        <v>250267289.56999999</v>
      </c>
      <c r="D94" s="37">
        <f>D95</f>
        <v>0</v>
      </c>
      <c r="E94" s="37">
        <f>E95</f>
        <v>0</v>
      </c>
    </row>
    <row r="95" spans="1:23" s="17" customFormat="1" ht="30" customHeight="1" x14ac:dyDescent="0.25">
      <c r="A95" s="23" t="s">
        <v>452</v>
      </c>
      <c r="B95" s="15" t="s">
        <v>453</v>
      </c>
      <c r="C95" s="24">
        <f>2500000+12574000+614400+200000000+3893668.2+3632257.69+18903963.68+3409000+212000+1000000+1000000+2528000</f>
        <v>250267289.56999999</v>
      </c>
      <c r="D95" s="24">
        <v>0</v>
      </c>
      <c r="E95" s="25">
        <v>0</v>
      </c>
      <c r="F95" s="1"/>
      <c r="G95" s="358"/>
      <c r="H95" s="358"/>
      <c r="I95" s="358"/>
      <c r="J95" s="358"/>
      <c r="K95" s="35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12" customFormat="1" ht="31.5" customHeight="1" x14ac:dyDescent="0.25">
      <c r="A96" s="22" t="s">
        <v>449</v>
      </c>
      <c r="B96" s="7" t="s">
        <v>133</v>
      </c>
      <c r="C96" s="37">
        <f>SUM(C97:C104)</f>
        <v>100462112.77000001</v>
      </c>
      <c r="D96" s="37">
        <f>SUM(D97:D104)</f>
        <v>25426631</v>
      </c>
      <c r="E96" s="37">
        <f>SUM(E97:E104)</f>
        <v>25789680</v>
      </c>
      <c r="F96" s="64"/>
      <c r="G96" s="312"/>
      <c r="H96" s="339"/>
      <c r="I96" s="339"/>
      <c r="J96" s="339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s="17" customFormat="1" ht="75" x14ac:dyDescent="0.25">
      <c r="A97" s="23" t="s">
        <v>566</v>
      </c>
      <c r="B97" s="15" t="s">
        <v>567</v>
      </c>
      <c r="C97" s="16">
        <v>26409740</v>
      </c>
      <c r="D97" s="16">
        <v>25426631</v>
      </c>
      <c r="E97" s="16">
        <v>25789680</v>
      </c>
      <c r="F97" s="1"/>
      <c r="G97" s="345"/>
      <c r="H97" s="345"/>
      <c r="I97" s="345"/>
      <c r="J97" s="3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17" customFormat="1" ht="25.5" x14ac:dyDescent="0.25">
      <c r="A98" s="307" t="s">
        <v>591</v>
      </c>
      <c r="B98" s="301" t="s">
        <v>589</v>
      </c>
      <c r="C98" s="16">
        <f>13230342.17-164164.69</f>
        <v>13066177.48</v>
      </c>
      <c r="D98" s="16"/>
      <c r="E98" s="16"/>
      <c r="F98" s="1"/>
      <c r="G98" s="345"/>
      <c r="H98" s="345"/>
      <c r="I98" s="345"/>
      <c r="J98" s="3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17" customFormat="1" ht="25.5" x14ac:dyDescent="0.25">
      <c r="A99" s="307" t="s">
        <v>592</v>
      </c>
      <c r="B99" s="301" t="s">
        <v>590</v>
      </c>
      <c r="C99" s="16">
        <v>2938585.86</v>
      </c>
      <c r="D99" s="16"/>
      <c r="E99" s="16"/>
      <c r="F99" s="1"/>
      <c r="G99" s="345"/>
      <c r="H99" s="345"/>
      <c r="I99" s="345"/>
      <c r="J99" s="3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17" customFormat="1" ht="62.25" customHeight="1" x14ac:dyDescent="0.25">
      <c r="A100" s="23" t="s">
        <v>574</v>
      </c>
      <c r="B100" s="15" t="s">
        <v>575</v>
      </c>
      <c r="C100" s="16">
        <v>7330700</v>
      </c>
      <c r="D100" s="16">
        <v>0</v>
      </c>
      <c r="E100" s="16">
        <v>0</v>
      </c>
      <c r="F100" s="1"/>
      <c r="G100" s="345"/>
      <c r="H100" s="313"/>
      <c r="I100" s="313"/>
      <c r="J100" s="3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s="17" customFormat="1" ht="30" customHeight="1" x14ac:dyDescent="0.25">
      <c r="A101" s="26" t="s">
        <v>450</v>
      </c>
      <c r="B101" s="15" t="s">
        <v>134</v>
      </c>
      <c r="C101" s="16">
        <v>6262605</v>
      </c>
      <c r="D101" s="16">
        <v>0</v>
      </c>
      <c r="E101" s="16">
        <v>0</v>
      </c>
      <c r="F101" s="1"/>
      <c r="G101" s="345"/>
      <c r="H101" s="313"/>
      <c r="I101" s="313"/>
      <c r="J101" s="3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17" customFormat="1" ht="90" x14ac:dyDescent="0.25">
      <c r="A102" s="26" t="s">
        <v>606</v>
      </c>
      <c r="B102" s="15" t="s">
        <v>605</v>
      </c>
      <c r="C102" s="16">
        <v>36124304.43</v>
      </c>
      <c r="D102" s="16">
        <v>0</v>
      </c>
      <c r="E102" s="16">
        <v>0</v>
      </c>
      <c r="F102" s="1"/>
      <c r="G102" s="345"/>
      <c r="H102" s="313"/>
      <c r="I102" s="313"/>
      <c r="J102" s="3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17" customFormat="1" ht="60" x14ac:dyDescent="0.25">
      <c r="A103" s="26" t="s">
        <v>666</v>
      </c>
      <c r="B103" s="15" t="s">
        <v>667</v>
      </c>
      <c r="C103" s="16">
        <v>330000</v>
      </c>
      <c r="D103" s="16"/>
      <c r="E103" s="16"/>
      <c r="F103" s="1"/>
      <c r="G103" s="345"/>
      <c r="H103" s="313"/>
      <c r="I103" s="313"/>
      <c r="J103" s="3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17" customFormat="1" ht="60" x14ac:dyDescent="0.25">
      <c r="A104" s="26" t="s">
        <v>607</v>
      </c>
      <c r="B104" s="15" t="s">
        <v>608</v>
      </c>
      <c r="C104" s="16">
        <v>8000000</v>
      </c>
      <c r="D104" s="16">
        <v>0</v>
      </c>
      <c r="E104" s="16">
        <v>0</v>
      </c>
      <c r="F104" s="1"/>
      <c r="G104" s="345"/>
      <c r="H104" s="313"/>
      <c r="I104" s="313"/>
      <c r="J104" s="3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27" customFormat="1" ht="31.5" x14ac:dyDescent="0.25">
      <c r="A105" s="22" t="s">
        <v>135</v>
      </c>
      <c r="B105" s="7" t="s">
        <v>136</v>
      </c>
      <c r="C105" s="37">
        <f>SUM(C106:C118)</f>
        <v>1749139591.6199999</v>
      </c>
      <c r="D105" s="37">
        <f>SUM(D106:D118)</f>
        <v>1550270811.51</v>
      </c>
      <c r="E105" s="37">
        <f>SUM(E106:E118)</f>
        <v>1566493621.51</v>
      </c>
      <c r="F105" s="138"/>
      <c r="G105" s="341"/>
      <c r="H105" s="342"/>
      <c r="I105" s="342"/>
      <c r="J105" s="342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</row>
    <row r="106" spans="1:23" s="38" customFormat="1" ht="105" x14ac:dyDescent="0.25">
      <c r="A106" s="28" t="s">
        <v>454</v>
      </c>
      <c r="B106" s="29" t="s">
        <v>548</v>
      </c>
      <c r="C106" s="346">
        <f>660555022.17+11498303.34+1819033.11+234036+6803740</f>
        <v>680910134.62</v>
      </c>
      <c r="D106" s="347">
        <v>715739420</v>
      </c>
      <c r="E106" s="347">
        <v>715739420</v>
      </c>
      <c r="F106" s="1"/>
      <c r="G106" s="349"/>
      <c r="H106" s="351"/>
      <c r="I106" s="351"/>
      <c r="J106" s="313"/>
      <c r="K106" s="1"/>
      <c r="L106" s="1"/>
      <c r="M106" s="1"/>
      <c r="N106" s="1"/>
      <c r="O106" s="1"/>
      <c r="P106" s="1"/>
      <c r="Q106" s="1"/>
      <c r="R106" s="1"/>
      <c r="S106" s="54"/>
      <c r="T106" s="54"/>
      <c r="U106" s="54"/>
      <c r="V106" s="54"/>
      <c r="W106" s="54"/>
    </row>
    <row r="107" spans="1:23" s="38" customFormat="1" ht="120" x14ac:dyDescent="0.25">
      <c r="A107" s="28" t="s">
        <v>456</v>
      </c>
      <c r="B107" s="29" t="s">
        <v>137</v>
      </c>
      <c r="C107" s="346">
        <f>67497149.09+1159618.2+137136.74+256870+694350</f>
        <v>69745124.030000001</v>
      </c>
      <c r="D107" s="31">
        <v>62413730</v>
      </c>
      <c r="E107" s="348">
        <v>62413730</v>
      </c>
      <c r="F107" s="1"/>
      <c r="G107" s="349"/>
      <c r="H107" s="352"/>
      <c r="I107" s="353"/>
      <c r="J107" s="313"/>
      <c r="K107" s="1"/>
      <c r="L107" s="1"/>
      <c r="M107" s="1"/>
      <c r="N107" s="1"/>
      <c r="O107" s="1"/>
      <c r="P107" s="1"/>
      <c r="Q107" s="1"/>
      <c r="R107" s="1"/>
      <c r="S107" s="54"/>
      <c r="T107" s="54"/>
      <c r="U107" s="54"/>
      <c r="V107" s="54"/>
      <c r="W107" s="54"/>
    </row>
    <row r="108" spans="1:23" s="38" customFormat="1" ht="60" x14ac:dyDescent="0.25">
      <c r="A108" s="28" t="s">
        <v>457</v>
      </c>
      <c r="B108" s="29" t="s">
        <v>543</v>
      </c>
      <c r="C108" s="30">
        <f>11942324.67+2819872.38+681888.65</f>
        <v>15444085.700000001</v>
      </c>
      <c r="D108" s="30">
        <v>11942320</v>
      </c>
      <c r="E108" s="30">
        <v>11942320</v>
      </c>
      <c r="F108" s="1"/>
      <c r="G108" s="268"/>
      <c r="H108" s="268"/>
      <c r="I108" s="268"/>
      <c r="J108" s="313"/>
      <c r="K108" s="1"/>
      <c r="L108" s="1"/>
      <c r="M108" s="1"/>
      <c r="N108" s="1"/>
      <c r="O108" s="1"/>
      <c r="P108" s="1"/>
      <c r="Q108" s="1"/>
      <c r="R108" s="1"/>
      <c r="S108" s="54"/>
      <c r="T108" s="54"/>
      <c r="U108" s="54"/>
      <c r="V108" s="54"/>
      <c r="W108" s="54"/>
    </row>
    <row r="109" spans="1:23" s="38" customFormat="1" ht="75" x14ac:dyDescent="0.25">
      <c r="A109" s="28" t="s">
        <v>138</v>
      </c>
      <c r="B109" s="29" t="s">
        <v>469</v>
      </c>
      <c r="C109" s="30">
        <v>296760900</v>
      </c>
      <c r="D109" s="30">
        <v>220284900</v>
      </c>
      <c r="E109" s="30">
        <v>212358210</v>
      </c>
      <c r="F109" s="1"/>
      <c r="G109" s="268"/>
      <c r="H109" s="268"/>
      <c r="I109" s="268"/>
      <c r="J109" s="313"/>
      <c r="K109" s="1"/>
      <c r="L109" s="1"/>
      <c r="M109" s="1"/>
      <c r="N109" s="1"/>
      <c r="O109" s="1"/>
      <c r="P109" s="1"/>
      <c r="Q109" s="1"/>
      <c r="R109" s="1"/>
      <c r="S109" s="54"/>
      <c r="T109" s="54"/>
      <c r="U109" s="54"/>
      <c r="V109" s="54"/>
      <c r="W109" s="54"/>
    </row>
    <row r="110" spans="1:23" s="38" customFormat="1" ht="60" x14ac:dyDescent="0.25">
      <c r="A110" s="28" t="s">
        <v>455</v>
      </c>
      <c r="B110" s="29" t="s">
        <v>545</v>
      </c>
      <c r="C110" s="346">
        <f>401008769.65+15195213.78+1486305.1-12620652.14+5857230</f>
        <v>410926866.38999999</v>
      </c>
      <c r="D110" s="31">
        <f>401008770-0.35</f>
        <v>401008769.64999998</v>
      </c>
      <c r="E110" s="31">
        <f>401008770-0.35</f>
        <v>401008769.64999998</v>
      </c>
      <c r="F110" s="1"/>
      <c r="G110" s="349"/>
      <c r="H110" s="352"/>
      <c r="I110" s="352"/>
      <c r="J110" s="313"/>
      <c r="K110" s="1"/>
      <c r="L110" s="1"/>
      <c r="M110" s="1"/>
      <c r="N110" s="1"/>
      <c r="O110" s="1"/>
      <c r="P110" s="1"/>
      <c r="Q110" s="1"/>
      <c r="R110" s="1"/>
      <c r="S110" s="54"/>
      <c r="T110" s="54"/>
      <c r="U110" s="54"/>
      <c r="V110" s="54"/>
      <c r="W110" s="54"/>
    </row>
    <row r="111" spans="1:23" s="38" customFormat="1" ht="90" x14ac:dyDescent="0.25">
      <c r="A111" s="28" t="s">
        <v>552</v>
      </c>
      <c r="B111" s="29" t="s">
        <v>553</v>
      </c>
      <c r="C111" s="349">
        <v>37995342</v>
      </c>
      <c r="D111" s="31">
        <v>22927690</v>
      </c>
      <c r="E111" s="31">
        <v>45855380</v>
      </c>
      <c r="F111" s="1"/>
      <c r="G111" s="349"/>
      <c r="H111" s="352"/>
      <c r="I111" s="352"/>
      <c r="J111" s="313"/>
      <c r="K111" s="1"/>
      <c r="L111" s="1"/>
      <c r="M111" s="1"/>
      <c r="N111" s="1"/>
      <c r="O111" s="1"/>
      <c r="P111" s="1"/>
      <c r="Q111" s="1"/>
      <c r="R111" s="1"/>
      <c r="S111" s="54"/>
      <c r="T111" s="54"/>
      <c r="U111" s="54"/>
      <c r="V111" s="54"/>
      <c r="W111" s="54"/>
    </row>
    <row r="112" spans="1:23" s="38" customFormat="1" ht="45" x14ac:dyDescent="0.25">
      <c r="A112" s="28" t="s">
        <v>536</v>
      </c>
      <c r="B112" s="29" t="s">
        <v>535</v>
      </c>
      <c r="C112" s="30">
        <v>10286000</v>
      </c>
      <c r="D112" s="30">
        <v>0</v>
      </c>
      <c r="E112" s="30">
        <v>0</v>
      </c>
      <c r="F112" s="1"/>
      <c r="G112" s="299"/>
      <c r="H112" s="313"/>
      <c r="I112" s="313"/>
      <c r="J112" s="313"/>
      <c r="K112" s="1"/>
      <c r="L112" s="1"/>
      <c r="M112" s="1"/>
      <c r="N112" s="1"/>
      <c r="O112" s="1"/>
      <c r="P112" s="1"/>
      <c r="Q112" s="1"/>
      <c r="R112" s="1"/>
      <c r="S112" s="54"/>
      <c r="T112" s="54"/>
      <c r="U112" s="54"/>
      <c r="V112" s="54"/>
      <c r="W112" s="54"/>
    </row>
    <row r="113" spans="1:23" s="38" customFormat="1" ht="60" x14ac:dyDescent="0.25">
      <c r="A113" s="28" t="s">
        <v>538</v>
      </c>
      <c r="B113" s="29" t="s">
        <v>537</v>
      </c>
      <c r="C113" s="30">
        <v>12063113.300000001</v>
      </c>
      <c r="D113" s="30">
        <v>0</v>
      </c>
      <c r="E113" s="30">
        <v>0</v>
      </c>
      <c r="F113" s="1"/>
      <c r="G113" s="299"/>
      <c r="H113" s="313"/>
      <c r="I113" s="313"/>
      <c r="J113" s="313"/>
      <c r="K113" s="1"/>
      <c r="L113" s="1"/>
      <c r="M113" s="1"/>
      <c r="N113" s="1"/>
      <c r="O113" s="1"/>
      <c r="P113" s="1"/>
      <c r="Q113" s="1"/>
      <c r="R113" s="1"/>
      <c r="S113" s="54"/>
      <c r="T113" s="54"/>
      <c r="U113" s="54"/>
      <c r="V113" s="54"/>
      <c r="W113" s="54"/>
    </row>
    <row r="114" spans="1:23" ht="60" x14ac:dyDescent="0.25">
      <c r="A114" s="28" t="s">
        <v>557</v>
      </c>
      <c r="B114" s="29" t="s">
        <v>539</v>
      </c>
      <c r="C114" s="30">
        <v>90536000</v>
      </c>
      <c r="D114" s="30">
        <v>20000000</v>
      </c>
      <c r="E114" s="30">
        <v>20000000</v>
      </c>
      <c r="G114" s="268"/>
      <c r="H114" s="268"/>
      <c r="I114" s="268"/>
    </row>
    <row r="115" spans="1:23" ht="90" x14ac:dyDescent="0.25">
      <c r="A115" s="28" t="s">
        <v>558</v>
      </c>
      <c r="B115" s="29" t="s">
        <v>554</v>
      </c>
      <c r="C115" s="30">
        <v>6515208</v>
      </c>
      <c r="D115" s="30">
        <v>6515208</v>
      </c>
      <c r="E115" s="30">
        <v>6515208</v>
      </c>
      <c r="G115" s="268"/>
      <c r="H115" s="268"/>
      <c r="I115" s="268"/>
    </row>
    <row r="116" spans="1:23" ht="75" x14ac:dyDescent="0.25">
      <c r="A116" s="28" t="s">
        <v>559</v>
      </c>
      <c r="B116" s="29" t="s">
        <v>560</v>
      </c>
      <c r="C116" s="30">
        <v>2497650</v>
      </c>
      <c r="D116" s="30">
        <v>2497650</v>
      </c>
      <c r="E116" s="30">
        <v>2497650</v>
      </c>
      <c r="G116" s="268"/>
      <c r="H116" s="268"/>
      <c r="I116" s="268"/>
    </row>
    <row r="117" spans="1:23" ht="135" x14ac:dyDescent="0.25">
      <c r="A117" s="28" t="s">
        <v>563</v>
      </c>
      <c r="B117" s="29" t="s">
        <v>564</v>
      </c>
      <c r="C117" s="30">
        <v>48070700</v>
      </c>
      <c r="D117" s="30">
        <v>41262982</v>
      </c>
      <c r="E117" s="30">
        <v>42484792</v>
      </c>
      <c r="G117" s="268"/>
      <c r="H117" s="268"/>
      <c r="I117" s="268"/>
    </row>
    <row r="118" spans="1:23" ht="76.5" customHeight="1" x14ac:dyDescent="0.25">
      <c r="A118" s="272" t="s">
        <v>468</v>
      </c>
      <c r="B118" s="195" t="s">
        <v>467</v>
      </c>
      <c r="C118" s="336">
        <f>4916110+62069445+978741.51-1839644.99+369585.19+96500+437098.87+360632</f>
        <v>67388467.579999998</v>
      </c>
      <c r="D118" s="336">
        <v>45678141.859999999</v>
      </c>
      <c r="E118" s="336">
        <v>45678141.859999999</v>
      </c>
      <c r="G118" s="358"/>
      <c r="H118" s="358"/>
      <c r="I118" s="358"/>
      <c r="J118" s="358"/>
      <c r="K118" s="54"/>
    </row>
    <row r="119" spans="1:23" s="27" customFormat="1" ht="15.75" customHeight="1" x14ac:dyDescent="0.25">
      <c r="A119" s="22" t="s">
        <v>139</v>
      </c>
      <c r="B119" s="7" t="s">
        <v>140</v>
      </c>
      <c r="C119" s="37">
        <f>SUM(C120:C122)</f>
        <v>18288762.149999999</v>
      </c>
      <c r="D119" s="37">
        <f>SUM(D120:D122)</f>
        <v>0</v>
      </c>
      <c r="E119" s="37">
        <f>SUM(E120:E122)</f>
        <v>0</v>
      </c>
      <c r="F119" s="138"/>
      <c r="G119" s="341"/>
      <c r="H119" s="342"/>
      <c r="I119" s="342"/>
      <c r="J119" s="342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</row>
    <row r="120" spans="1:23" ht="75.75" customHeight="1" x14ac:dyDescent="0.25">
      <c r="A120" s="23" t="s">
        <v>141</v>
      </c>
      <c r="B120" s="15" t="s">
        <v>142</v>
      </c>
      <c r="C120" s="16">
        <f>6768872.55+210694.2+10000+88716+220095</f>
        <v>7298377.75</v>
      </c>
      <c r="D120" s="16">
        <v>0</v>
      </c>
      <c r="E120" s="348">
        <v>0</v>
      </c>
    </row>
    <row r="121" spans="1:23" ht="75.75" customHeight="1" x14ac:dyDescent="0.25">
      <c r="A121" s="23" t="s">
        <v>601</v>
      </c>
      <c r="B121" s="15" t="s">
        <v>600</v>
      </c>
      <c r="C121" s="16">
        <v>8309397</v>
      </c>
      <c r="D121" s="16">
        <v>0</v>
      </c>
      <c r="E121" s="348">
        <v>0</v>
      </c>
      <c r="G121" s="369"/>
      <c r="H121" s="369"/>
    </row>
    <row r="122" spans="1:23" ht="75.75" customHeight="1" x14ac:dyDescent="0.25">
      <c r="A122" s="23" t="s">
        <v>610</v>
      </c>
      <c r="B122" s="15" t="s">
        <v>609</v>
      </c>
      <c r="C122" s="16">
        <v>2680987.4</v>
      </c>
      <c r="D122" s="16">
        <v>0</v>
      </c>
      <c r="E122" s="348">
        <v>0</v>
      </c>
    </row>
    <row r="123" spans="1:23" s="12" customFormat="1" ht="15.75" customHeight="1" x14ac:dyDescent="0.25">
      <c r="A123" s="22" t="s">
        <v>143</v>
      </c>
      <c r="B123" s="7" t="s">
        <v>144</v>
      </c>
      <c r="C123" s="37">
        <f>C124</f>
        <v>17879959.18</v>
      </c>
      <c r="D123" s="37">
        <f>D124</f>
        <v>0</v>
      </c>
      <c r="E123" s="37">
        <f>E124</f>
        <v>0</v>
      </c>
      <c r="F123" s="64"/>
      <c r="G123" s="312"/>
      <c r="H123" s="339"/>
      <c r="I123" s="339"/>
      <c r="J123" s="339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</row>
    <row r="124" spans="1:23" ht="30" customHeight="1" x14ac:dyDescent="0.25">
      <c r="A124" s="23" t="s">
        <v>145</v>
      </c>
      <c r="B124" s="15" t="s">
        <v>14</v>
      </c>
      <c r="C124" s="16">
        <f>-1509-280+310440+8450000+1698596+320000+154600+300000+4951404+1000000+682000+14960-13.87-237.95</f>
        <v>17879959.18</v>
      </c>
      <c r="D124" s="37"/>
      <c r="E124" s="364"/>
      <c r="G124" s="368"/>
      <c r="H124" s="368"/>
      <c r="I124" s="368"/>
      <c r="J124" s="368"/>
      <c r="K124" s="369"/>
      <c r="L124" s="54"/>
      <c r="M124" s="54"/>
      <c r="N124" s="54"/>
      <c r="O124" s="54"/>
      <c r="P124" s="54"/>
    </row>
    <row r="125" spans="1:23" ht="30" customHeight="1" x14ac:dyDescent="0.25">
      <c r="A125" s="22" t="s">
        <v>451</v>
      </c>
      <c r="B125" s="7" t="s">
        <v>458</v>
      </c>
      <c r="C125" s="16">
        <f>5184690.51-869930.9+10151776.22+1509+3000000</f>
        <v>17468044.829999998</v>
      </c>
      <c r="D125" s="37">
        <v>0</v>
      </c>
      <c r="E125" s="364">
        <v>0</v>
      </c>
      <c r="H125" s="299"/>
      <c r="I125" s="299"/>
      <c r="J125" s="299"/>
      <c r="K125" s="54"/>
      <c r="L125" s="54"/>
      <c r="M125" s="54"/>
      <c r="N125" s="54"/>
      <c r="O125" s="54"/>
      <c r="P125" s="54"/>
    </row>
    <row r="126" spans="1:23" s="12" customFormat="1" ht="78.75" x14ac:dyDescent="0.25">
      <c r="A126" s="22" t="s">
        <v>459</v>
      </c>
      <c r="B126" s="7" t="s">
        <v>460</v>
      </c>
      <c r="C126" s="37">
        <f>2.22+2538144.89</f>
        <v>2538147.1100000003</v>
      </c>
      <c r="D126" s="37">
        <v>0</v>
      </c>
      <c r="E126" s="364">
        <v>0</v>
      </c>
      <c r="F126" s="64"/>
      <c r="G126" s="312"/>
      <c r="H126" s="312"/>
      <c r="I126" s="312"/>
      <c r="J126" s="312"/>
      <c r="K126" s="65"/>
      <c r="L126" s="65"/>
      <c r="M126" s="65"/>
      <c r="N126" s="65"/>
      <c r="O126" s="65"/>
      <c r="P126" s="65"/>
      <c r="Q126" s="64"/>
      <c r="R126" s="64"/>
      <c r="S126" s="64"/>
      <c r="T126" s="64"/>
      <c r="U126" s="64"/>
      <c r="V126" s="64"/>
      <c r="W126" s="64"/>
    </row>
    <row r="127" spans="1:23" s="12" customFormat="1" ht="63" customHeight="1" x14ac:dyDescent="0.25">
      <c r="A127" s="22" t="s">
        <v>461</v>
      </c>
      <c r="B127" s="7" t="s">
        <v>146</v>
      </c>
      <c r="C127" s="37">
        <f>-2.22+-239390.69-15407538.11-156104.09-5184690.51-14021.32+9248019-8062062-52918230.52-24500+869930.9</f>
        <v>-71888589.560000002</v>
      </c>
      <c r="D127" s="37">
        <v>0</v>
      </c>
      <c r="E127" s="37">
        <v>0</v>
      </c>
      <c r="F127" s="64"/>
      <c r="G127" s="312"/>
      <c r="H127" s="312"/>
      <c r="I127" s="312"/>
      <c r="J127" s="312"/>
      <c r="K127" s="65"/>
      <c r="L127" s="65"/>
      <c r="M127" s="65"/>
      <c r="N127" s="65"/>
      <c r="O127" s="65"/>
      <c r="P127" s="65"/>
      <c r="Q127" s="64"/>
      <c r="R127" s="64"/>
      <c r="S127" s="64"/>
      <c r="T127" s="64"/>
      <c r="U127" s="64"/>
      <c r="V127" s="64"/>
      <c r="W127" s="64"/>
    </row>
    <row r="128" spans="1:23" s="27" customFormat="1" ht="15.75" x14ac:dyDescent="0.25">
      <c r="A128" s="33"/>
      <c r="B128" s="34" t="s">
        <v>147</v>
      </c>
      <c r="C128" s="113">
        <f>C91+C92</f>
        <v>4909330909.9500008</v>
      </c>
      <c r="D128" s="113">
        <f>D91+D92</f>
        <v>4127459167.0699997</v>
      </c>
      <c r="E128" s="113">
        <f>E91+E92</f>
        <v>4202330495.7799997</v>
      </c>
      <c r="F128" s="138"/>
      <c r="G128" s="341"/>
      <c r="H128" s="342"/>
      <c r="I128" s="342"/>
      <c r="J128" s="342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</row>
    <row r="131" spans="1:5" x14ac:dyDescent="0.25">
      <c r="D131" s="129"/>
      <c r="E131" s="129"/>
    </row>
    <row r="132" spans="1:5" x14ac:dyDescent="0.25">
      <c r="A132" s="35"/>
      <c r="B132" s="36"/>
      <c r="C132" s="361"/>
      <c r="D132" s="361"/>
      <c r="E132" s="361"/>
    </row>
    <row r="133" spans="1:5" x14ac:dyDescent="0.25">
      <c r="C133" s="362"/>
      <c r="D133" s="362"/>
      <c r="E133" s="362"/>
    </row>
    <row r="134" spans="1:5" x14ac:dyDescent="0.25">
      <c r="C134" s="362"/>
      <c r="D134" s="362"/>
      <c r="E134" s="362"/>
    </row>
    <row r="135" spans="1:5" x14ac:dyDescent="0.25">
      <c r="C135" s="362"/>
      <c r="D135" s="362"/>
      <c r="E135" s="362"/>
    </row>
    <row r="136" spans="1:5" x14ac:dyDescent="0.25">
      <c r="C136" s="129"/>
      <c r="D136" s="129"/>
      <c r="E136" s="129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ageMargins left="0.63" right="0.24" top="0.35433070866141736" bottom="0.35433070866141736" header="0.31496062992125984" footer="0.31496062992125984"/>
  <pageSetup paperSize="9" scale="6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CE123"/>
  <sheetViews>
    <sheetView zoomScaleNormal="100" workbookViewId="0">
      <selection activeCell="D7" sqref="D7:E8"/>
    </sheetView>
  </sheetViews>
  <sheetFormatPr defaultRowHeight="15" x14ac:dyDescent="0.25"/>
  <cols>
    <col min="1" max="1" width="65.7109375" style="2" customWidth="1"/>
    <col min="2" max="2" width="19.42578125" style="53" customWidth="1"/>
    <col min="3" max="3" width="7.7109375" style="53" customWidth="1"/>
    <col min="4" max="4" width="22.5703125" style="257" customWidth="1"/>
    <col min="5" max="5" width="20.5703125" style="257" customWidth="1"/>
    <col min="6" max="6" width="22.7109375" style="257" customWidth="1"/>
    <col min="7" max="180" width="9.140625" style="1"/>
    <col min="181" max="181" width="65.7109375" style="1" customWidth="1"/>
    <col min="182" max="182" width="19.42578125" style="1" customWidth="1"/>
    <col min="183" max="183" width="7.7109375" style="1" customWidth="1"/>
    <col min="184" max="184" width="19.28515625" style="1" bestFit="1" customWidth="1"/>
    <col min="185" max="190" width="0" style="55" hidden="1" customWidth="1"/>
    <col min="191" max="192" width="13.5703125" style="1" bestFit="1" customWidth="1"/>
    <col min="193" max="193" width="12.42578125" style="1" bestFit="1" customWidth="1"/>
    <col min="194" max="194" width="10.7109375" style="1" bestFit="1" customWidth="1"/>
    <col min="195" max="195" width="12.42578125" style="1" bestFit="1" customWidth="1"/>
    <col min="196" max="436" width="9.140625" style="1"/>
    <col min="437" max="437" width="65.7109375" style="1" customWidth="1"/>
    <col min="438" max="438" width="19.42578125" style="1" customWidth="1"/>
    <col min="439" max="439" width="7.7109375" style="1" customWidth="1"/>
    <col min="440" max="440" width="19.28515625" style="1" bestFit="1" customWidth="1"/>
    <col min="441" max="446" width="0" style="55" hidden="1" customWidth="1"/>
    <col min="447" max="448" width="13.5703125" style="1" bestFit="1" customWidth="1"/>
    <col min="449" max="449" width="12.42578125" style="1" bestFit="1" customWidth="1"/>
    <col min="450" max="450" width="10.7109375" style="1" bestFit="1" customWidth="1"/>
    <col min="451" max="451" width="12.42578125" style="1" bestFit="1" customWidth="1"/>
    <col min="452" max="692" width="9.140625" style="1"/>
    <col min="693" max="693" width="65.7109375" style="1" customWidth="1"/>
    <col min="694" max="694" width="19.42578125" style="1" customWidth="1"/>
    <col min="695" max="695" width="7.7109375" style="1" customWidth="1"/>
    <col min="696" max="696" width="19.28515625" style="1" bestFit="1" customWidth="1"/>
    <col min="697" max="702" width="0" style="55" hidden="1" customWidth="1"/>
    <col min="703" max="704" width="13.5703125" style="1" bestFit="1" customWidth="1"/>
    <col min="705" max="705" width="12.42578125" style="1" bestFit="1" customWidth="1"/>
    <col min="706" max="706" width="10.7109375" style="1" bestFit="1" customWidth="1"/>
    <col min="707" max="707" width="12.42578125" style="1" bestFit="1" customWidth="1"/>
    <col min="708" max="948" width="9.140625" style="1"/>
    <col min="949" max="949" width="65.7109375" style="1" customWidth="1"/>
    <col min="950" max="950" width="19.42578125" style="1" customWidth="1"/>
    <col min="951" max="951" width="7.7109375" style="1" customWidth="1"/>
    <col min="952" max="952" width="19.28515625" style="1" bestFit="1" customWidth="1"/>
    <col min="953" max="958" width="0" style="55" hidden="1" customWidth="1"/>
    <col min="959" max="960" width="13.5703125" style="1" bestFit="1" customWidth="1"/>
    <col min="961" max="961" width="12.42578125" style="1" bestFit="1" customWidth="1"/>
    <col min="962" max="962" width="10.7109375" style="1" bestFit="1" customWidth="1"/>
    <col min="963" max="963" width="12.42578125" style="1" bestFit="1" customWidth="1"/>
    <col min="964" max="1204" width="9.140625" style="1"/>
    <col min="1205" max="1205" width="65.7109375" style="1" customWidth="1"/>
    <col min="1206" max="1206" width="19.42578125" style="1" customWidth="1"/>
    <col min="1207" max="1207" width="7.7109375" style="1" customWidth="1"/>
    <col min="1208" max="1208" width="19.28515625" style="1" bestFit="1" customWidth="1"/>
    <col min="1209" max="1214" width="0" style="55" hidden="1" customWidth="1"/>
    <col min="1215" max="1216" width="13.5703125" style="1" bestFit="1" customWidth="1"/>
    <col min="1217" max="1217" width="12.42578125" style="1" bestFit="1" customWidth="1"/>
    <col min="1218" max="1218" width="10.7109375" style="1" bestFit="1" customWidth="1"/>
    <col min="1219" max="1219" width="12.42578125" style="1" bestFit="1" customWidth="1"/>
    <col min="1220" max="1460" width="9.140625" style="1"/>
    <col min="1461" max="1461" width="65.7109375" style="1" customWidth="1"/>
    <col min="1462" max="1462" width="19.42578125" style="1" customWidth="1"/>
    <col min="1463" max="1463" width="7.7109375" style="1" customWidth="1"/>
    <col min="1464" max="1464" width="19.28515625" style="1" bestFit="1" customWidth="1"/>
    <col min="1465" max="1470" width="0" style="55" hidden="1" customWidth="1"/>
    <col min="1471" max="1472" width="13.5703125" style="1" bestFit="1" customWidth="1"/>
    <col min="1473" max="1473" width="12.42578125" style="1" bestFit="1" customWidth="1"/>
    <col min="1474" max="1474" width="10.7109375" style="1" bestFit="1" customWidth="1"/>
    <col min="1475" max="1475" width="12.42578125" style="1" bestFit="1" customWidth="1"/>
    <col min="1476" max="1716" width="9.140625" style="1"/>
    <col min="1717" max="1717" width="65.7109375" style="1" customWidth="1"/>
    <col min="1718" max="1718" width="19.42578125" style="1" customWidth="1"/>
    <col min="1719" max="1719" width="7.7109375" style="1" customWidth="1"/>
    <col min="1720" max="1720" width="19.28515625" style="1" bestFit="1" customWidth="1"/>
    <col min="1721" max="1726" width="0" style="55" hidden="1" customWidth="1"/>
    <col min="1727" max="1728" width="13.5703125" style="1" bestFit="1" customWidth="1"/>
    <col min="1729" max="1729" width="12.42578125" style="1" bestFit="1" customWidth="1"/>
    <col min="1730" max="1730" width="10.7109375" style="1" bestFit="1" customWidth="1"/>
    <col min="1731" max="1731" width="12.42578125" style="1" bestFit="1" customWidth="1"/>
    <col min="1732" max="1972" width="9.140625" style="1"/>
    <col min="1973" max="1973" width="65.7109375" style="1" customWidth="1"/>
    <col min="1974" max="1974" width="19.42578125" style="1" customWidth="1"/>
    <col min="1975" max="1975" width="7.7109375" style="1" customWidth="1"/>
    <col min="1976" max="1976" width="19.28515625" style="1" bestFit="1" customWidth="1"/>
    <col min="1977" max="1982" width="0" style="55" hidden="1" customWidth="1"/>
    <col min="1983" max="1984" width="13.5703125" style="1" bestFit="1" customWidth="1"/>
    <col min="1985" max="1985" width="12.42578125" style="1" bestFit="1" customWidth="1"/>
    <col min="1986" max="1986" width="10.7109375" style="1" bestFit="1" customWidth="1"/>
    <col min="1987" max="1987" width="12.42578125" style="1" bestFit="1" customWidth="1"/>
    <col min="1988" max="2228" width="9.140625" style="1"/>
    <col min="2229" max="2229" width="65.7109375" style="1" customWidth="1"/>
    <col min="2230" max="2230" width="19.42578125" style="1" customWidth="1"/>
    <col min="2231" max="2231" width="7.7109375" style="1" customWidth="1"/>
    <col min="2232" max="2232" width="19.28515625" style="1" bestFit="1" customWidth="1"/>
    <col min="2233" max="2238" width="0" style="55" hidden="1" customWidth="1"/>
    <col min="2239" max="2240" width="13.5703125" style="1" bestFit="1" customWidth="1"/>
    <col min="2241" max="2241" width="12.42578125" style="1" bestFit="1" customWidth="1"/>
    <col min="2242" max="2242" width="10.7109375" style="1" bestFit="1" customWidth="1"/>
    <col min="2243" max="2243" width="12.42578125" style="1" bestFit="1" customWidth="1"/>
    <col min="2244" max="2484" width="9.140625" style="1"/>
    <col min="2485" max="2485" width="65.7109375" style="1" customWidth="1"/>
    <col min="2486" max="2486" width="19.42578125" style="1" customWidth="1"/>
    <col min="2487" max="2487" width="7.7109375" style="1" customWidth="1"/>
    <col min="2488" max="2488" width="19.28515625" style="1" bestFit="1" customWidth="1"/>
    <col min="2489" max="2494" width="0" style="55" hidden="1" customWidth="1"/>
    <col min="2495" max="2496" width="13.5703125" style="1" bestFit="1" customWidth="1"/>
    <col min="2497" max="2497" width="12.42578125" style="1" bestFit="1" customWidth="1"/>
    <col min="2498" max="2498" width="10.7109375" style="1" bestFit="1" customWidth="1"/>
    <col min="2499" max="2499" width="12.42578125" style="1" bestFit="1" customWidth="1"/>
    <col min="2500" max="2740" width="9.140625" style="1"/>
    <col min="2741" max="2741" width="65.7109375" style="1" customWidth="1"/>
    <col min="2742" max="2742" width="19.42578125" style="1" customWidth="1"/>
    <col min="2743" max="2743" width="7.7109375" style="1" customWidth="1"/>
    <col min="2744" max="2744" width="19.28515625" style="1" bestFit="1" customWidth="1"/>
    <col min="2745" max="2750" width="0" style="55" hidden="1" customWidth="1"/>
    <col min="2751" max="2752" width="13.5703125" style="1" bestFit="1" customWidth="1"/>
    <col min="2753" max="2753" width="12.42578125" style="1" bestFit="1" customWidth="1"/>
    <col min="2754" max="2754" width="10.7109375" style="1" bestFit="1" customWidth="1"/>
    <col min="2755" max="2755" width="12.42578125" style="1" bestFit="1" customWidth="1"/>
    <col min="2756" max="2996" width="9.140625" style="1"/>
    <col min="2997" max="2997" width="65.7109375" style="1" customWidth="1"/>
    <col min="2998" max="2998" width="19.42578125" style="1" customWidth="1"/>
    <col min="2999" max="2999" width="7.7109375" style="1" customWidth="1"/>
    <col min="3000" max="3000" width="19.28515625" style="1" bestFit="1" customWidth="1"/>
    <col min="3001" max="3006" width="0" style="55" hidden="1" customWidth="1"/>
    <col min="3007" max="3008" width="13.5703125" style="1" bestFit="1" customWidth="1"/>
    <col min="3009" max="3009" width="12.42578125" style="1" bestFit="1" customWidth="1"/>
    <col min="3010" max="3010" width="10.7109375" style="1" bestFit="1" customWidth="1"/>
    <col min="3011" max="3011" width="12.42578125" style="1" bestFit="1" customWidth="1"/>
    <col min="3012" max="3252" width="9.140625" style="1"/>
    <col min="3253" max="3253" width="65.7109375" style="1" customWidth="1"/>
    <col min="3254" max="3254" width="19.42578125" style="1" customWidth="1"/>
    <col min="3255" max="3255" width="7.7109375" style="1" customWidth="1"/>
    <col min="3256" max="3256" width="19.28515625" style="1" bestFit="1" customWidth="1"/>
    <col min="3257" max="3262" width="0" style="55" hidden="1" customWidth="1"/>
    <col min="3263" max="3264" width="13.5703125" style="1" bestFit="1" customWidth="1"/>
    <col min="3265" max="3265" width="12.42578125" style="1" bestFit="1" customWidth="1"/>
    <col min="3266" max="3266" width="10.7109375" style="1" bestFit="1" customWidth="1"/>
    <col min="3267" max="3267" width="12.42578125" style="1" bestFit="1" customWidth="1"/>
    <col min="3268" max="3508" width="9.140625" style="1"/>
    <col min="3509" max="3509" width="65.7109375" style="1" customWidth="1"/>
    <col min="3510" max="3510" width="19.42578125" style="1" customWidth="1"/>
    <col min="3511" max="3511" width="7.7109375" style="1" customWidth="1"/>
    <col min="3512" max="3512" width="19.28515625" style="1" bestFit="1" customWidth="1"/>
    <col min="3513" max="3518" width="0" style="55" hidden="1" customWidth="1"/>
    <col min="3519" max="3520" width="13.5703125" style="1" bestFit="1" customWidth="1"/>
    <col min="3521" max="3521" width="12.42578125" style="1" bestFit="1" customWidth="1"/>
    <col min="3522" max="3522" width="10.7109375" style="1" bestFit="1" customWidth="1"/>
    <col min="3523" max="3523" width="12.42578125" style="1" bestFit="1" customWidth="1"/>
    <col min="3524" max="3764" width="9.140625" style="1"/>
    <col min="3765" max="3765" width="65.7109375" style="1" customWidth="1"/>
    <col min="3766" max="3766" width="19.42578125" style="1" customWidth="1"/>
    <col min="3767" max="3767" width="7.7109375" style="1" customWidth="1"/>
    <col min="3768" max="3768" width="19.28515625" style="1" bestFit="1" customWidth="1"/>
    <col min="3769" max="3774" width="0" style="55" hidden="1" customWidth="1"/>
    <col min="3775" max="3776" width="13.5703125" style="1" bestFit="1" customWidth="1"/>
    <col min="3777" max="3777" width="12.42578125" style="1" bestFit="1" customWidth="1"/>
    <col min="3778" max="3778" width="10.7109375" style="1" bestFit="1" customWidth="1"/>
    <col min="3779" max="3779" width="12.42578125" style="1" bestFit="1" customWidth="1"/>
    <col min="3780" max="4020" width="9.140625" style="1"/>
    <col min="4021" max="4021" width="65.7109375" style="1" customWidth="1"/>
    <col min="4022" max="4022" width="19.42578125" style="1" customWidth="1"/>
    <col min="4023" max="4023" width="7.7109375" style="1" customWidth="1"/>
    <col min="4024" max="4024" width="19.28515625" style="1" bestFit="1" customWidth="1"/>
    <col min="4025" max="4030" width="0" style="55" hidden="1" customWidth="1"/>
    <col min="4031" max="4032" width="13.5703125" style="1" bestFit="1" customWidth="1"/>
    <col min="4033" max="4033" width="12.42578125" style="1" bestFit="1" customWidth="1"/>
    <col min="4034" max="4034" width="10.7109375" style="1" bestFit="1" customWidth="1"/>
    <col min="4035" max="4035" width="12.42578125" style="1" bestFit="1" customWidth="1"/>
    <col min="4036" max="4276" width="9.140625" style="1"/>
    <col min="4277" max="4277" width="65.7109375" style="1" customWidth="1"/>
    <col min="4278" max="4278" width="19.42578125" style="1" customWidth="1"/>
    <col min="4279" max="4279" width="7.7109375" style="1" customWidth="1"/>
    <col min="4280" max="4280" width="19.28515625" style="1" bestFit="1" customWidth="1"/>
    <col min="4281" max="4286" width="0" style="55" hidden="1" customWidth="1"/>
    <col min="4287" max="4288" width="13.5703125" style="1" bestFit="1" customWidth="1"/>
    <col min="4289" max="4289" width="12.42578125" style="1" bestFit="1" customWidth="1"/>
    <col min="4290" max="4290" width="10.7109375" style="1" bestFit="1" customWidth="1"/>
    <col min="4291" max="4291" width="12.42578125" style="1" bestFit="1" customWidth="1"/>
    <col min="4292" max="4532" width="9.140625" style="1"/>
    <col min="4533" max="4533" width="65.7109375" style="1" customWidth="1"/>
    <col min="4534" max="4534" width="19.42578125" style="1" customWidth="1"/>
    <col min="4535" max="4535" width="7.7109375" style="1" customWidth="1"/>
    <col min="4536" max="4536" width="19.28515625" style="1" bestFit="1" customWidth="1"/>
    <col min="4537" max="4542" width="0" style="55" hidden="1" customWidth="1"/>
    <col min="4543" max="4544" width="13.5703125" style="1" bestFit="1" customWidth="1"/>
    <col min="4545" max="4545" width="12.42578125" style="1" bestFit="1" customWidth="1"/>
    <col min="4546" max="4546" width="10.7109375" style="1" bestFit="1" customWidth="1"/>
    <col min="4547" max="4547" width="12.42578125" style="1" bestFit="1" customWidth="1"/>
    <col min="4548" max="4788" width="9.140625" style="1"/>
    <col min="4789" max="4789" width="65.7109375" style="1" customWidth="1"/>
    <col min="4790" max="4790" width="19.42578125" style="1" customWidth="1"/>
    <col min="4791" max="4791" width="7.7109375" style="1" customWidth="1"/>
    <col min="4792" max="4792" width="19.28515625" style="1" bestFit="1" customWidth="1"/>
    <col min="4793" max="4798" width="0" style="55" hidden="1" customWidth="1"/>
    <col min="4799" max="4800" width="13.5703125" style="1" bestFit="1" customWidth="1"/>
    <col min="4801" max="4801" width="12.42578125" style="1" bestFit="1" customWidth="1"/>
    <col min="4802" max="4802" width="10.7109375" style="1" bestFit="1" customWidth="1"/>
    <col min="4803" max="4803" width="12.42578125" style="1" bestFit="1" customWidth="1"/>
    <col min="4804" max="5044" width="9.140625" style="1"/>
    <col min="5045" max="5045" width="65.7109375" style="1" customWidth="1"/>
    <col min="5046" max="5046" width="19.42578125" style="1" customWidth="1"/>
    <col min="5047" max="5047" width="7.7109375" style="1" customWidth="1"/>
    <col min="5048" max="5048" width="19.28515625" style="1" bestFit="1" customWidth="1"/>
    <col min="5049" max="5054" width="0" style="55" hidden="1" customWidth="1"/>
    <col min="5055" max="5056" width="13.5703125" style="1" bestFit="1" customWidth="1"/>
    <col min="5057" max="5057" width="12.42578125" style="1" bestFit="1" customWidth="1"/>
    <col min="5058" max="5058" width="10.7109375" style="1" bestFit="1" customWidth="1"/>
    <col min="5059" max="5059" width="12.42578125" style="1" bestFit="1" customWidth="1"/>
    <col min="5060" max="5300" width="9.140625" style="1"/>
    <col min="5301" max="5301" width="65.7109375" style="1" customWidth="1"/>
    <col min="5302" max="5302" width="19.42578125" style="1" customWidth="1"/>
    <col min="5303" max="5303" width="7.7109375" style="1" customWidth="1"/>
    <col min="5304" max="5304" width="19.28515625" style="1" bestFit="1" customWidth="1"/>
    <col min="5305" max="5310" width="0" style="55" hidden="1" customWidth="1"/>
    <col min="5311" max="5312" width="13.5703125" style="1" bestFit="1" customWidth="1"/>
    <col min="5313" max="5313" width="12.42578125" style="1" bestFit="1" customWidth="1"/>
    <col min="5314" max="5314" width="10.7109375" style="1" bestFit="1" customWidth="1"/>
    <col min="5315" max="5315" width="12.42578125" style="1" bestFit="1" customWidth="1"/>
    <col min="5316" max="5556" width="9.140625" style="1"/>
    <col min="5557" max="5557" width="65.7109375" style="1" customWidth="1"/>
    <col min="5558" max="5558" width="19.42578125" style="1" customWidth="1"/>
    <col min="5559" max="5559" width="7.7109375" style="1" customWidth="1"/>
    <col min="5560" max="5560" width="19.28515625" style="1" bestFit="1" customWidth="1"/>
    <col min="5561" max="5566" width="0" style="55" hidden="1" customWidth="1"/>
    <col min="5567" max="5568" width="13.5703125" style="1" bestFit="1" customWidth="1"/>
    <col min="5569" max="5569" width="12.42578125" style="1" bestFit="1" customWidth="1"/>
    <col min="5570" max="5570" width="10.7109375" style="1" bestFit="1" customWidth="1"/>
    <col min="5571" max="5571" width="12.42578125" style="1" bestFit="1" customWidth="1"/>
    <col min="5572" max="5812" width="9.140625" style="1"/>
    <col min="5813" max="5813" width="65.7109375" style="1" customWidth="1"/>
    <col min="5814" max="5814" width="19.42578125" style="1" customWidth="1"/>
    <col min="5815" max="5815" width="7.7109375" style="1" customWidth="1"/>
    <col min="5816" max="5816" width="19.28515625" style="1" bestFit="1" customWidth="1"/>
    <col min="5817" max="5822" width="0" style="55" hidden="1" customWidth="1"/>
    <col min="5823" max="5824" width="13.5703125" style="1" bestFit="1" customWidth="1"/>
    <col min="5825" max="5825" width="12.42578125" style="1" bestFit="1" customWidth="1"/>
    <col min="5826" max="5826" width="10.7109375" style="1" bestFit="1" customWidth="1"/>
    <col min="5827" max="5827" width="12.42578125" style="1" bestFit="1" customWidth="1"/>
    <col min="5828" max="6068" width="9.140625" style="1"/>
    <col min="6069" max="6069" width="65.7109375" style="1" customWidth="1"/>
    <col min="6070" max="6070" width="19.42578125" style="1" customWidth="1"/>
    <col min="6071" max="6071" width="7.7109375" style="1" customWidth="1"/>
    <col min="6072" max="6072" width="19.28515625" style="1" bestFit="1" customWidth="1"/>
    <col min="6073" max="6078" width="0" style="55" hidden="1" customWidth="1"/>
    <col min="6079" max="6080" width="13.5703125" style="1" bestFit="1" customWidth="1"/>
    <col min="6081" max="6081" width="12.42578125" style="1" bestFit="1" customWidth="1"/>
    <col min="6082" max="6082" width="10.7109375" style="1" bestFit="1" customWidth="1"/>
    <col min="6083" max="6083" width="12.42578125" style="1" bestFit="1" customWidth="1"/>
    <col min="6084" max="6324" width="9.140625" style="1"/>
    <col min="6325" max="6325" width="65.7109375" style="1" customWidth="1"/>
    <col min="6326" max="6326" width="19.42578125" style="1" customWidth="1"/>
    <col min="6327" max="6327" width="7.7109375" style="1" customWidth="1"/>
    <col min="6328" max="6328" width="19.28515625" style="1" bestFit="1" customWidth="1"/>
    <col min="6329" max="6334" width="0" style="55" hidden="1" customWidth="1"/>
    <col min="6335" max="6336" width="13.5703125" style="1" bestFit="1" customWidth="1"/>
    <col min="6337" max="6337" width="12.42578125" style="1" bestFit="1" customWidth="1"/>
    <col min="6338" max="6338" width="10.7109375" style="1" bestFit="1" customWidth="1"/>
    <col min="6339" max="6339" width="12.42578125" style="1" bestFit="1" customWidth="1"/>
    <col min="6340" max="6580" width="9.140625" style="1"/>
    <col min="6581" max="6581" width="65.7109375" style="1" customWidth="1"/>
    <col min="6582" max="6582" width="19.42578125" style="1" customWidth="1"/>
    <col min="6583" max="6583" width="7.7109375" style="1" customWidth="1"/>
    <col min="6584" max="6584" width="19.28515625" style="1" bestFit="1" customWidth="1"/>
    <col min="6585" max="6590" width="0" style="55" hidden="1" customWidth="1"/>
    <col min="6591" max="6592" width="13.5703125" style="1" bestFit="1" customWidth="1"/>
    <col min="6593" max="6593" width="12.42578125" style="1" bestFit="1" customWidth="1"/>
    <col min="6594" max="6594" width="10.7109375" style="1" bestFit="1" customWidth="1"/>
    <col min="6595" max="6595" width="12.42578125" style="1" bestFit="1" customWidth="1"/>
    <col min="6596" max="6836" width="9.140625" style="1"/>
    <col min="6837" max="6837" width="65.7109375" style="1" customWidth="1"/>
    <col min="6838" max="6838" width="19.42578125" style="1" customWidth="1"/>
    <col min="6839" max="6839" width="7.7109375" style="1" customWidth="1"/>
    <col min="6840" max="6840" width="19.28515625" style="1" bestFit="1" customWidth="1"/>
    <col min="6841" max="6846" width="0" style="55" hidden="1" customWidth="1"/>
    <col min="6847" max="6848" width="13.5703125" style="1" bestFit="1" customWidth="1"/>
    <col min="6849" max="6849" width="12.42578125" style="1" bestFit="1" customWidth="1"/>
    <col min="6850" max="6850" width="10.7109375" style="1" bestFit="1" customWidth="1"/>
    <col min="6851" max="6851" width="12.42578125" style="1" bestFit="1" customWidth="1"/>
    <col min="6852" max="7092" width="9.140625" style="1"/>
    <col min="7093" max="7093" width="65.7109375" style="1" customWidth="1"/>
    <col min="7094" max="7094" width="19.42578125" style="1" customWidth="1"/>
    <col min="7095" max="7095" width="7.7109375" style="1" customWidth="1"/>
    <col min="7096" max="7096" width="19.28515625" style="1" bestFit="1" customWidth="1"/>
    <col min="7097" max="7102" width="0" style="55" hidden="1" customWidth="1"/>
    <col min="7103" max="7104" width="13.5703125" style="1" bestFit="1" customWidth="1"/>
    <col min="7105" max="7105" width="12.42578125" style="1" bestFit="1" customWidth="1"/>
    <col min="7106" max="7106" width="10.7109375" style="1" bestFit="1" customWidth="1"/>
    <col min="7107" max="7107" width="12.42578125" style="1" bestFit="1" customWidth="1"/>
    <col min="7108" max="7348" width="9.140625" style="1"/>
    <col min="7349" max="7349" width="65.7109375" style="1" customWidth="1"/>
    <col min="7350" max="7350" width="19.42578125" style="1" customWidth="1"/>
    <col min="7351" max="7351" width="7.7109375" style="1" customWidth="1"/>
    <col min="7352" max="7352" width="19.28515625" style="1" bestFit="1" customWidth="1"/>
    <col min="7353" max="7358" width="0" style="55" hidden="1" customWidth="1"/>
    <col min="7359" max="7360" width="13.5703125" style="1" bestFit="1" customWidth="1"/>
    <col min="7361" max="7361" width="12.42578125" style="1" bestFit="1" customWidth="1"/>
    <col min="7362" max="7362" width="10.7109375" style="1" bestFit="1" customWidth="1"/>
    <col min="7363" max="7363" width="12.42578125" style="1" bestFit="1" customWidth="1"/>
    <col min="7364" max="7604" width="9.140625" style="1"/>
    <col min="7605" max="7605" width="65.7109375" style="1" customWidth="1"/>
    <col min="7606" max="7606" width="19.42578125" style="1" customWidth="1"/>
    <col min="7607" max="7607" width="7.7109375" style="1" customWidth="1"/>
    <col min="7608" max="7608" width="19.28515625" style="1" bestFit="1" customWidth="1"/>
    <col min="7609" max="7614" width="0" style="55" hidden="1" customWidth="1"/>
    <col min="7615" max="7616" width="13.5703125" style="1" bestFit="1" customWidth="1"/>
    <col min="7617" max="7617" width="12.42578125" style="1" bestFit="1" customWidth="1"/>
    <col min="7618" max="7618" width="10.7109375" style="1" bestFit="1" customWidth="1"/>
    <col min="7619" max="7619" width="12.42578125" style="1" bestFit="1" customWidth="1"/>
    <col min="7620" max="7860" width="9.140625" style="1"/>
    <col min="7861" max="7861" width="65.7109375" style="1" customWidth="1"/>
    <col min="7862" max="7862" width="19.42578125" style="1" customWidth="1"/>
    <col min="7863" max="7863" width="7.7109375" style="1" customWidth="1"/>
    <col min="7864" max="7864" width="19.28515625" style="1" bestFit="1" customWidth="1"/>
    <col min="7865" max="7870" width="0" style="55" hidden="1" customWidth="1"/>
    <col min="7871" max="7872" width="13.5703125" style="1" bestFit="1" customWidth="1"/>
    <col min="7873" max="7873" width="12.42578125" style="1" bestFit="1" customWidth="1"/>
    <col min="7874" max="7874" width="10.7109375" style="1" bestFit="1" customWidth="1"/>
    <col min="7875" max="7875" width="12.42578125" style="1" bestFit="1" customWidth="1"/>
    <col min="7876" max="8116" width="9.140625" style="1"/>
    <col min="8117" max="8117" width="65.7109375" style="1" customWidth="1"/>
    <col min="8118" max="8118" width="19.42578125" style="1" customWidth="1"/>
    <col min="8119" max="8119" width="7.7109375" style="1" customWidth="1"/>
    <col min="8120" max="8120" width="19.28515625" style="1" bestFit="1" customWidth="1"/>
    <col min="8121" max="8126" width="0" style="55" hidden="1" customWidth="1"/>
    <col min="8127" max="8128" width="13.5703125" style="1" bestFit="1" customWidth="1"/>
    <col min="8129" max="8129" width="12.42578125" style="1" bestFit="1" customWidth="1"/>
    <col min="8130" max="8130" width="10.7109375" style="1" bestFit="1" customWidth="1"/>
    <col min="8131" max="8131" width="12.42578125" style="1" bestFit="1" customWidth="1"/>
    <col min="8132" max="8372" width="9.140625" style="1"/>
    <col min="8373" max="8373" width="65.7109375" style="1" customWidth="1"/>
    <col min="8374" max="8374" width="19.42578125" style="1" customWidth="1"/>
    <col min="8375" max="8375" width="7.7109375" style="1" customWidth="1"/>
    <col min="8376" max="8376" width="19.28515625" style="1" bestFit="1" customWidth="1"/>
    <col min="8377" max="8382" width="0" style="55" hidden="1" customWidth="1"/>
    <col min="8383" max="8384" width="13.5703125" style="1" bestFit="1" customWidth="1"/>
    <col min="8385" max="8385" width="12.42578125" style="1" bestFit="1" customWidth="1"/>
    <col min="8386" max="8386" width="10.7109375" style="1" bestFit="1" customWidth="1"/>
    <col min="8387" max="8387" width="12.42578125" style="1" bestFit="1" customWidth="1"/>
    <col min="8388" max="8628" width="9.140625" style="1"/>
    <col min="8629" max="8629" width="65.7109375" style="1" customWidth="1"/>
    <col min="8630" max="8630" width="19.42578125" style="1" customWidth="1"/>
    <col min="8631" max="8631" width="7.7109375" style="1" customWidth="1"/>
    <col min="8632" max="8632" width="19.28515625" style="1" bestFit="1" customWidth="1"/>
    <col min="8633" max="8638" width="0" style="55" hidden="1" customWidth="1"/>
    <col min="8639" max="8640" width="13.5703125" style="1" bestFit="1" customWidth="1"/>
    <col min="8641" max="8641" width="12.42578125" style="1" bestFit="1" customWidth="1"/>
    <col min="8642" max="8642" width="10.7109375" style="1" bestFit="1" customWidth="1"/>
    <col min="8643" max="8643" width="12.42578125" style="1" bestFit="1" customWidth="1"/>
    <col min="8644" max="8884" width="9.140625" style="1"/>
    <col min="8885" max="8885" width="65.7109375" style="1" customWidth="1"/>
    <col min="8886" max="8886" width="19.42578125" style="1" customWidth="1"/>
    <col min="8887" max="8887" width="7.7109375" style="1" customWidth="1"/>
    <col min="8888" max="8888" width="19.28515625" style="1" bestFit="1" customWidth="1"/>
    <col min="8889" max="8894" width="0" style="55" hidden="1" customWidth="1"/>
    <col min="8895" max="8896" width="13.5703125" style="1" bestFit="1" customWidth="1"/>
    <col min="8897" max="8897" width="12.42578125" style="1" bestFit="1" customWidth="1"/>
    <col min="8898" max="8898" width="10.7109375" style="1" bestFit="1" customWidth="1"/>
    <col min="8899" max="8899" width="12.42578125" style="1" bestFit="1" customWidth="1"/>
    <col min="8900" max="9140" width="9.140625" style="1"/>
    <col min="9141" max="9141" width="65.7109375" style="1" customWidth="1"/>
    <col min="9142" max="9142" width="19.42578125" style="1" customWidth="1"/>
    <col min="9143" max="9143" width="7.7109375" style="1" customWidth="1"/>
    <col min="9144" max="9144" width="19.28515625" style="1" bestFit="1" customWidth="1"/>
    <col min="9145" max="9150" width="0" style="55" hidden="1" customWidth="1"/>
    <col min="9151" max="9152" width="13.5703125" style="1" bestFit="1" customWidth="1"/>
    <col min="9153" max="9153" width="12.42578125" style="1" bestFit="1" customWidth="1"/>
    <col min="9154" max="9154" width="10.7109375" style="1" bestFit="1" customWidth="1"/>
    <col min="9155" max="9155" width="12.42578125" style="1" bestFit="1" customWidth="1"/>
    <col min="9156" max="9396" width="9.140625" style="1"/>
    <col min="9397" max="9397" width="65.7109375" style="1" customWidth="1"/>
    <col min="9398" max="9398" width="19.42578125" style="1" customWidth="1"/>
    <col min="9399" max="9399" width="7.7109375" style="1" customWidth="1"/>
    <col min="9400" max="9400" width="19.28515625" style="1" bestFit="1" customWidth="1"/>
    <col min="9401" max="9406" width="0" style="55" hidden="1" customWidth="1"/>
    <col min="9407" max="9408" width="13.5703125" style="1" bestFit="1" customWidth="1"/>
    <col min="9409" max="9409" width="12.42578125" style="1" bestFit="1" customWidth="1"/>
    <col min="9410" max="9410" width="10.7109375" style="1" bestFit="1" customWidth="1"/>
    <col min="9411" max="9411" width="12.42578125" style="1" bestFit="1" customWidth="1"/>
    <col min="9412" max="9652" width="9.140625" style="1"/>
    <col min="9653" max="9653" width="65.7109375" style="1" customWidth="1"/>
    <col min="9654" max="9654" width="19.42578125" style="1" customWidth="1"/>
    <col min="9655" max="9655" width="7.7109375" style="1" customWidth="1"/>
    <col min="9656" max="9656" width="19.28515625" style="1" bestFit="1" customWidth="1"/>
    <col min="9657" max="9662" width="0" style="55" hidden="1" customWidth="1"/>
    <col min="9663" max="9664" width="13.5703125" style="1" bestFit="1" customWidth="1"/>
    <col min="9665" max="9665" width="12.42578125" style="1" bestFit="1" customWidth="1"/>
    <col min="9666" max="9666" width="10.7109375" style="1" bestFit="1" customWidth="1"/>
    <col min="9667" max="9667" width="12.42578125" style="1" bestFit="1" customWidth="1"/>
    <col min="9668" max="9908" width="9.140625" style="1"/>
    <col min="9909" max="9909" width="65.7109375" style="1" customWidth="1"/>
    <col min="9910" max="9910" width="19.42578125" style="1" customWidth="1"/>
    <col min="9911" max="9911" width="7.7109375" style="1" customWidth="1"/>
    <col min="9912" max="9912" width="19.28515625" style="1" bestFit="1" customWidth="1"/>
    <col min="9913" max="9918" width="0" style="55" hidden="1" customWidth="1"/>
    <col min="9919" max="9920" width="13.5703125" style="1" bestFit="1" customWidth="1"/>
    <col min="9921" max="9921" width="12.42578125" style="1" bestFit="1" customWidth="1"/>
    <col min="9922" max="9922" width="10.7109375" style="1" bestFit="1" customWidth="1"/>
    <col min="9923" max="9923" width="12.42578125" style="1" bestFit="1" customWidth="1"/>
    <col min="9924" max="10164" width="9.140625" style="1"/>
    <col min="10165" max="10165" width="65.7109375" style="1" customWidth="1"/>
    <col min="10166" max="10166" width="19.42578125" style="1" customWidth="1"/>
    <col min="10167" max="10167" width="7.7109375" style="1" customWidth="1"/>
    <col min="10168" max="10168" width="19.28515625" style="1" bestFit="1" customWidth="1"/>
    <col min="10169" max="10174" width="0" style="55" hidden="1" customWidth="1"/>
    <col min="10175" max="10176" width="13.5703125" style="1" bestFit="1" customWidth="1"/>
    <col min="10177" max="10177" width="12.42578125" style="1" bestFit="1" customWidth="1"/>
    <col min="10178" max="10178" width="10.7109375" style="1" bestFit="1" customWidth="1"/>
    <col min="10179" max="10179" width="12.42578125" style="1" bestFit="1" customWidth="1"/>
    <col min="10180" max="10420" width="9.140625" style="1"/>
    <col min="10421" max="10421" width="65.7109375" style="1" customWidth="1"/>
    <col min="10422" max="10422" width="19.42578125" style="1" customWidth="1"/>
    <col min="10423" max="10423" width="7.7109375" style="1" customWidth="1"/>
    <col min="10424" max="10424" width="19.28515625" style="1" bestFit="1" customWidth="1"/>
    <col min="10425" max="10430" width="0" style="55" hidden="1" customWidth="1"/>
    <col min="10431" max="10432" width="13.5703125" style="1" bestFit="1" customWidth="1"/>
    <col min="10433" max="10433" width="12.42578125" style="1" bestFit="1" customWidth="1"/>
    <col min="10434" max="10434" width="10.7109375" style="1" bestFit="1" customWidth="1"/>
    <col min="10435" max="10435" width="12.42578125" style="1" bestFit="1" customWidth="1"/>
    <col min="10436" max="10676" width="9.140625" style="1"/>
    <col min="10677" max="10677" width="65.7109375" style="1" customWidth="1"/>
    <col min="10678" max="10678" width="19.42578125" style="1" customWidth="1"/>
    <col min="10679" max="10679" width="7.7109375" style="1" customWidth="1"/>
    <col min="10680" max="10680" width="19.28515625" style="1" bestFit="1" customWidth="1"/>
    <col min="10681" max="10686" width="0" style="55" hidden="1" customWidth="1"/>
    <col min="10687" max="10688" width="13.5703125" style="1" bestFit="1" customWidth="1"/>
    <col min="10689" max="10689" width="12.42578125" style="1" bestFit="1" customWidth="1"/>
    <col min="10690" max="10690" width="10.7109375" style="1" bestFit="1" customWidth="1"/>
    <col min="10691" max="10691" width="12.42578125" style="1" bestFit="1" customWidth="1"/>
    <col min="10692" max="10932" width="9.140625" style="1"/>
    <col min="10933" max="10933" width="65.7109375" style="1" customWidth="1"/>
    <col min="10934" max="10934" width="19.42578125" style="1" customWidth="1"/>
    <col min="10935" max="10935" width="7.7109375" style="1" customWidth="1"/>
    <col min="10936" max="10936" width="19.28515625" style="1" bestFit="1" customWidth="1"/>
    <col min="10937" max="10942" width="0" style="55" hidden="1" customWidth="1"/>
    <col min="10943" max="10944" width="13.5703125" style="1" bestFit="1" customWidth="1"/>
    <col min="10945" max="10945" width="12.42578125" style="1" bestFit="1" customWidth="1"/>
    <col min="10946" max="10946" width="10.7109375" style="1" bestFit="1" customWidth="1"/>
    <col min="10947" max="10947" width="12.42578125" style="1" bestFit="1" customWidth="1"/>
    <col min="10948" max="11188" width="9.140625" style="1"/>
    <col min="11189" max="11189" width="65.7109375" style="1" customWidth="1"/>
    <col min="11190" max="11190" width="19.42578125" style="1" customWidth="1"/>
    <col min="11191" max="11191" width="7.7109375" style="1" customWidth="1"/>
    <col min="11192" max="11192" width="19.28515625" style="1" bestFit="1" customWidth="1"/>
    <col min="11193" max="11198" width="0" style="55" hidden="1" customWidth="1"/>
    <col min="11199" max="11200" width="13.5703125" style="1" bestFit="1" customWidth="1"/>
    <col min="11201" max="11201" width="12.42578125" style="1" bestFit="1" customWidth="1"/>
    <col min="11202" max="11202" width="10.7109375" style="1" bestFit="1" customWidth="1"/>
    <col min="11203" max="11203" width="12.42578125" style="1" bestFit="1" customWidth="1"/>
    <col min="11204" max="11444" width="9.140625" style="1"/>
    <col min="11445" max="11445" width="65.7109375" style="1" customWidth="1"/>
    <col min="11446" max="11446" width="19.42578125" style="1" customWidth="1"/>
    <col min="11447" max="11447" width="7.7109375" style="1" customWidth="1"/>
    <col min="11448" max="11448" width="19.28515625" style="1" bestFit="1" customWidth="1"/>
    <col min="11449" max="11454" width="0" style="55" hidden="1" customWidth="1"/>
    <col min="11455" max="11456" width="13.5703125" style="1" bestFit="1" customWidth="1"/>
    <col min="11457" max="11457" width="12.42578125" style="1" bestFit="1" customWidth="1"/>
    <col min="11458" max="11458" width="10.7109375" style="1" bestFit="1" customWidth="1"/>
    <col min="11459" max="11459" width="12.42578125" style="1" bestFit="1" customWidth="1"/>
    <col min="11460" max="11700" width="9.140625" style="1"/>
    <col min="11701" max="11701" width="65.7109375" style="1" customWidth="1"/>
    <col min="11702" max="11702" width="19.42578125" style="1" customWidth="1"/>
    <col min="11703" max="11703" width="7.7109375" style="1" customWidth="1"/>
    <col min="11704" max="11704" width="19.28515625" style="1" bestFit="1" customWidth="1"/>
    <col min="11705" max="11710" width="0" style="55" hidden="1" customWidth="1"/>
    <col min="11711" max="11712" width="13.5703125" style="1" bestFit="1" customWidth="1"/>
    <col min="11713" max="11713" width="12.42578125" style="1" bestFit="1" customWidth="1"/>
    <col min="11714" max="11714" width="10.7109375" style="1" bestFit="1" customWidth="1"/>
    <col min="11715" max="11715" width="12.42578125" style="1" bestFit="1" customWidth="1"/>
    <col min="11716" max="11956" width="9.140625" style="1"/>
    <col min="11957" max="11957" width="65.7109375" style="1" customWidth="1"/>
    <col min="11958" max="11958" width="19.42578125" style="1" customWidth="1"/>
    <col min="11959" max="11959" width="7.7109375" style="1" customWidth="1"/>
    <col min="11960" max="11960" width="19.28515625" style="1" bestFit="1" customWidth="1"/>
    <col min="11961" max="11966" width="0" style="55" hidden="1" customWidth="1"/>
    <col min="11967" max="11968" width="13.5703125" style="1" bestFit="1" customWidth="1"/>
    <col min="11969" max="11969" width="12.42578125" style="1" bestFit="1" customWidth="1"/>
    <col min="11970" max="11970" width="10.7109375" style="1" bestFit="1" customWidth="1"/>
    <col min="11971" max="11971" width="12.42578125" style="1" bestFit="1" customWidth="1"/>
    <col min="11972" max="12212" width="9.140625" style="1"/>
    <col min="12213" max="12213" width="65.7109375" style="1" customWidth="1"/>
    <col min="12214" max="12214" width="19.42578125" style="1" customWidth="1"/>
    <col min="12215" max="12215" width="7.7109375" style="1" customWidth="1"/>
    <col min="12216" max="12216" width="19.28515625" style="1" bestFit="1" customWidth="1"/>
    <col min="12217" max="12222" width="0" style="55" hidden="1" customWidth="1"/>
    <col min="12223" max="12224" width="13.5703125" style="1" bestFit="1" customWidth="1"/>
    <col min="12225" max="12225" width="12.42578125" style="1" bestFit="1" customWidth="1"/>
    <col min="12226" max="12226" width="10.7109375" style="1" bestFit="1" customWidth="1"/>
    <col min="12227" max="12227" width="12.42578125" style="1" bestFit="1" customWidth="1"/>
    <col min="12228" max="12468" width="9.140625" style="1"/>
    <col min="12469" max="12469" width="65.7109375" style="1" customWidth="1"/>
    <col min="12470" max="12470" width="19.42578125" style="1" customWidth="1"/>
    <col min="12471" max="12471" width="7.7109375" style="1" customWidth="1"/>
    <col min="12472" max="12472" width="19.28515625" style="1" bestFit="1" customWidth="1"/>
    <col min="12473" max="12478" width="0" style="55" hidden="1" customWidth="1"/>
    <col min="12479" max="12480" width="13.5703125" style="1" bestFit="1" customWidth="1"/>
    <col min="12481" max="12481" width="12.42578125" style="1" bestFit="1" customWidth="1"/>
    <col min="12482" max="12482" width="10.7109375" style="1" bestFit="1" customWidth="1"/>
    <col min="12483" max="12483" width="12.42578125" style="1" bestFit="1" customWidth="1"/>
    <col min="12484" max="12724" width="9.140625" style="1"/>
    <col min="12725" max="12725" width="65.7109375" style="1" customWidth="1"/>
    <col min="12726" max="12726" width="19.42578125" style="1" customWidth="1"/>
    <col min="12727" max="12727" width="7.7109375" style="1" customWidth="1"/>
    <col min="12728" max="12728" width="19.28515625" style="1" bestFit="1" customWidth="1"/>
    <col min="12729" max="12734" width="0" style="55" hidden="1" customWidth="1"/>
    <col min="12735" max="12736" width="13.5703125" style="1" bestFit="1" customWidth="1"/>
    <col min="12737" max="12737" width="12.42578125" style="1" bestFit="1" customWidth="1"/>
    <col min="12738" max="12738" width="10.7109375" style="1" bestFit="1" customWidth="1"/>
    <col min="12739" max="12739" width="12.42578125" style="1" bestFit="1" customWidth="1"/>
    <col min="12740" max="12980" width="9.140625" style="1"/>
    <col min="12981" max="12981" width="65.7109375" style="1" customWidth="1"/>
    <col min="12982" max="12982" width="19.42578125" style="1" customWidth="1"/>
    <col min="12983" max="12983" width="7.7109375" style="1" customWidth="1"/>
    <col min="12984" max="12984" width="19.28515625" style="1" bestFit="1" customWidth="1"/>
    <col min="12985" max="12990" width="0" style="55" hidden="1" customWidth="1"/>
    <col min="12991" max="12992" width="13.5703125" style="1" bestFit="1" customWidth="1"/>
    <col min="12993" max="12993" width="12.42578125" style="1" bestFit="1" customWidth="1"/>
    <col min="12994" max="12994" width="10.7109375" style="1" bestFit="1" customWidth="1"/>
    <col min="12995" max="12995" width="12.42578125" style="1" bestFit="1" customWidth="1"/>
    <col min="12996" max="13236" width="9.140625" style="1"/>
    <col min="13237" max="13237" width="65.7109375" style="1" customWidth="1"/>
    <col min="13238" max="13238" width="19.42578125" style="1" customWidth="1"/>
    <col min="13239" max="13239" width="7.7109375" style="1" customWidth="1"/>
    <col min="13240" max="13240" width="19.28515625" style="1" bestFit="1" customWidth="1"/>
    <col min="13241" max="13246" width="0" style="55" hidden="1" customWidth="1"/>
    <col min="13247" max="13248" width="13.5703125" style="1" bestFit="1" customWidth="1"/>
    <col min="13249" max="13249" width="12.42578125" style="1" bestFit="1" customWidth="1"/>
    <col min="13250" max="13250" width="10.7109375" style="1" bestFit="1" customWidth="1"/>
    <col min="13251" max="13251" width="12.42578125" style="1" bestFit="1" customWidth="1"/>
    <col min="13252" max="13492" width="9.140625" style="1"/>
    <col min="13493" max="13493" width="65.7109375" style="1" customWidth="1"/>
    <col min="13494" max="13494" width="19.42578125" style="1" customWidth="1"/>
    <col min="13495" max="13495" width="7.7109375" style="1" customWidth="1"/>
    <col min="13496" max="13496" width="19.28515625" style="1" bestFit="1" customWidth="1"/>
    <col min="13497" max="13502" width="0" style="55" hidden="1" customWidth="1"/>
    <col min="13503" max="13504" width="13.5703125" style="1" bestFit="1" customWidth="1"/>
    <col min="13505" max="13505" width="12.42578125" style="1" bestFit="1" customWidth="1"/>
    <col min="13506" max="13506" width="10.7109375" style="1" bestFit="1" customWidth="1"/>
    <col min="13507" max="13507" width="12.42578125" style="1" bestFit="1" customWidth="1"/>
    <col min="13508" max="13748" width="9.140625" style="1"/>
    <col min="13749" max="13749" width="65.7109375" style="1" customWidth="1"/>
    <col min="13750" max="13750" width="19.42578125" style="1" customWidth="1"/>
    <col min="13751" max="13751" width="7.7109375" style="1" customWidth="1"/>
    <col min="13752" max="13752" width="19.28515625" style="1" bestFit="1" customWidth="1"/>
    <col min="13753" max="13758" width="0" style="55" hidden="1" customWidth="1"/>
    <col min="13759" max="13760" width="13.5703125" style="1" bestFit="1" customWidth="1"/>
    <col min="13761" max="13761" width="12.42578125" style="1" bestFit="1" customWidth="1"/>
    <col min="13762" max="13762" width="10.7109375" style="1" bestFit="1" customWidth="1"/>
    <col min="13763" max="13763" width="12.42578125" style="1" bestFit="1" customWidth="1"/>
    <col min="13764" max="14004" width="9.140625" style="1"/>
    <col min="14005" max="14005" width="65.7109375" style="1" customWidth="1"/>
    <col min="14006" max="14006" width="19.42578125" style="1" customWidth="1"/>
    <col min="14007" max="14007" width="7.7109375" style="1" customWidth="1"/>
    <col min="14008" max="14008" width="19.28515625" style="1" bestFit="1" customWidth="1"/>
    <col min="14009" max="14014" width="0" style="55" hidden="1" customWidth="1"/>
    <col min="14015" max="14016" width="13.5703125" style="1" bestFit="1" customWidth="1"/>
    <col min="14017" max="14017" width="12.42578125" style="1" bestFit="1" customWidth="1"/>
    <col min="14018" max="14018" width="10.7109375" style="1" bestFit="1" customWidth="1"/>
    <col min="14019" max="14019" width="12.42578125" style="1" bestFit="1" customWidth="1"/>
    <col min="14020" max="14260" width="9.140625" style="1"/>
    <col min="14261" max="14261" width="65.7109375" style="1" customWidth="1"/>
    <col min="14262" max="14262" width="19.42578125" style="1" customWidth="1"/>
    <col min="14263" max="14263" width="7.7109375" style="1" customWidth="1"/>
    <col min="14264" max="14264" width="19.28515625" style="1" bestFit="1" customWidth="1"/>
    <col min="14265" max="14270" width="0" style="55" hidden="1" customWidth="1"/>
    <col min="14271" max="14272" width="13.5703125" style="1" bestFit="1" customWidth="1"/>
    <col min="14273" max="14273" width="12.42578125" style="1" bestFit="1" customWidth="1"/>
    <col min="14274" max="14274" width="10.7109375" style="1" bestFit="1" customWidth="1"/>
    <col min="14275" max="14275" width="12.42578125" style="1" bestFit="1" customWidth="1"/>
    <col min="14276" max="14516" width="9.140625" style="1"/>
    <col min="14517" max="14517" width="65.7109375" style="1" customWidth="1"/>
    <col min="14518" max="14518" width="19.42578125" style="1" customWidth="1"/>
    <col min="14519" max="14519" width="7.7109375" style="1" customWidth="1"/>
    <col min="14520" max="14520" width="19.28515625" style="1" bestFit="1" customWidth="1"/>
    <col min="14521" max="14526" width="0" style="55" hidden="1" customWidth="1"/>
    <col min="14527" max="14528" width="13.5703125" style="1" bestFit="1" customWidth="1"/>
    <col min="14529" max="14529" width="12.42578125" style="1" bestFit="1" customWidth="1"/>
    <col min="14530" max="14530" width="10.7109375" style="1" bestFit="1" customWidth="1"/>
    <col min="14531" max="14531" width="12.42578125" style="1" bestFit="1" customWidth="1"/>
    <col min="14532" max="14772" width="9.140625" style="1"/>
    <col min="14773" max="14773" width="65.7109375" style="1" customWidth="1"/>
    <col min="14774" max="14774" width="19.42578125" style="1" customWidth="1"/>
    <col min="14775" max="14775" width="7.7109375" style="1" customWidth="1"/>
    <col min="14776" max="14776" width="19.28515625" style="1" bestFit="1" customWidth="1"/>
    <col min="14777" max="14782" width="0" style="55" hidden="1" customWidth="1"/>
    <col min="14783" max="14784" width="13.5703125" style="1" bestFit="1" customWidth="1"/>
    <col min="14785" max="14785" width="12.42578125" style="1" bestFit="1" customWidth="1"/>
    <col min="14786" max="14786" width="10.7109375" style="1" bestFit="1" customWidth="1"/>
    <col min="14787" max="14787" width="12.42578125" style="1" bestFit="1" customWidth="1"/>
    <col min="14788" max="15028" width="9.140625" style="1"/>
    <col min="15029" max="15029" width="65.7109375" style="1" customWidth="1"/>
    <col min="15030" max="15030" width="19.42578125" style="1" customWidth="1"/>
    <col min="15031" max="15031" width="7.7109375" style="1" customWidth="1"/>
    <col min="15032" max="15032" width="19.28515625" style="1" bestFit="1" customWidth="1"/>
    <col min="15033" max="15038" width="0" style="55" hidden="1" customWidth="1"/>
    <col min="15039" max="15040" width="13.5703125" style="1" bestFit="1" customWidth="1"/>
    <col min="15041" max="15041" width="12.42578125" style="1" bestFit="1" customWidth="1"/>
    <col min="15042" max="15042" width="10.7109375" style="1" bestFit="1" customWidth="1"/>
    <col min="15043" max="15043" width="12.42578125" style="1" bestFit="1" customWidth="1"/>
    <col min="15044" max="15284" width="9.140625" style="1"/>
    <col min="15285" max="15285" width="65.7109375" style="1" customWidth="1"/>
    <col min="15286" max="15286" width="19.42578125" style="1" customWidth="1"/>
    <col min="15287" max="15287" width="7.7109375" style="1" customWidth="1"/>
    <col min="15288" max="15288" width="19.28515625" style="1" bestFit="1" customWidth="1"/>
    <col min="15289" max="15294" width="0" style="55" hidden="1" customWidth="1"/>
    <col min="15295" max="15296" width="13.5703125" style="1" bestFit="1" customWidth="1"/>
    <col min="15297" max="15297" width="12.42578125" style="1" bestFit="1" customWidth="1"/>
    <col min="15298" max="15298" width="10.7109375" style="1" bestFit="1" customWidth="1"/>
    <col min="15299" max="15299" width="12.42578125" style="1" bestFit="1" customWidth="1"/>
    <col min="15300" max="15540" width="9.140625" style="1"/>
    <col min="15541" max="15541" width="65.7109375" style="1" customWidth="1"/>
    <col min="15542" max="15542" width="19.42578125" style="1" customWidth="1"/>
    <col min="15543" max="15543" width="7.7109375" style="1" customWidth="1"/>
    <col min="15544" max="15544" width="19.28515625" style="1" bestFit="1" customWidth="1"/>
    <col min="15545" max="15550" width="0" style="55" hidden="1" customWidth="1"/>
    <col min="15551" max="15552" width="13.5703125" style="1" bestFit="1" customWidth="1"/>
    <col min="15553" max="15553" width="12.42578125" style="1" bestFit="1" customWidth="1"/>
    <col min="15554" max="15554" width="10.7109375" style="1" bestFit="1" customWidth="1"/>
    <col min="15555" max="15555" width="12.42578125" style="1" bestFit="1" customWidth="1"/>
    <col min="15556" max="15796" width="9.140625" style="1"/>
    <col min="15797" max="15797" width="65.7109375" style="1" customWidth="1"/>
    <col min="15798" max="15798" width="19.42578125" style="1" customWidth="1"/>
    <col min="15799" max="15799" width="7.7109375" style="1" customWidth="1"/>
    <col min="15800" max="15800" width="19.28515625" style="1" bestFit="1" customWidth="1"/>
    <col min="15801" max="15806" width="0" style="55" hidden="1" customWidth="1"/>
    <col min="15807" max="15808" width="13.5703125" style="1" bestFit="1" customWidth="1"/>
    <col min="15809" max="15809" width="12.42578125" style="1" bestFit="1" customWidth="1"/>
    <col min="15810" max="15810" width="10.7109375" style="1" bestFit="1" customWidth="1"/>
    <col min="15811" max="15811" width="12.42578125" style="1" bestFit="1" customWidth="1"/>
    <col min="15812" max="16052" width="9.140625" style="1"/>
    <col min="16053" max="16053" width="65.7109375" style="1" customWidth="1"/>
    <col min="16054" max="16054" width="19.42578125" style="1" customWidth="1"/>
    <col min="16055" max="16055" width="7.7109375" style="1" customWidth="1"/>
    <col min="16056" max="16056" width="19.28515625" style="1" bestFit="1" customWidth="1"/>
    <col min="16057" max="16062" width="0" style="55" hidden="1" customWidth="1"/>
    <col min="16063" max="16064" width="13.5703125" style="1" bestFit="1" customWidth="1"/>
    <col min="16065" max="16065" width="12.42578125" style="1" bestFit="1" customWidth="1"/>
    <col min="16066" max="16066" width="10.7109375" style="1" bestFit="1" customWidth="1"/>
    <col min="16067" max="16067" width="12.42578125" style="1" bestFit="1" customWidth="1"/>
    <col min="16068" max="16384" width="9.140625" style="1"/>
  </cols>
  <sheetData>
    <row r="2" spans="1:16307" ht="18.75" x14ac:dyDescent="0.25">
      <c r="B2" s="52"/>
      <c r="E2" s="258" t="s">
        <v>424</v>
      </c>
      <c r="F2" s="258"/>
    </row>
    <row r="3" spans="1:16307" ht="18.75" x14ac:dyDescent="0.25">
      <c r="B3" s="52"/>
      <c r="E3" s="258" t="s">
        <v>16</v>
      </c>
      <c r="F3" s="258"/>
    </row>
    <row r="4" spans="1:16307" ht="18.75" x14ac:dyDescent="0.25">
      <c r="B4" s="52"/>
      <c r="E4" s="258" t="s">
        <v>17</v>
      </c>
      <c r="F4" s="258"/>
    </row>
    <row r="5" spans="1:16307" ht="18.75" x14ac:dyDescent="0.25">
      <c r="B5" s="52"/>
      <c r="E5" s="258" t="s">
        <v>18</v>
      </c>
      <c r="F5" s="258"/>
    </row>
    <row r="6" spans="1:16307" ht="18.75" x14ac:dyDescent="0.25">
      <c r="B6" s="52"/>
      <c r="E6" s="258" t="s">
        <v>19</v>
      </c>
      <c r="F6" s="258"/>
    </row>
    <row r="7" spans="1:16307" ht="18.75" x14ac:dyDescent="0.25">
      <c r="B7" s="52"/>
      <c r="D7" s="386" t="s">
        <v>699</v>
      </c>
      <c r="E7" s="387"/>
      <c r="F7" s="258"/>
    </row>
    <row r="8" spans="1:16307" ht="18.75" x14ac:dyDescent="0.25">
      <c r="B8" s="52"/>
      <c r="D8" s="388" t="s">
        <v>700</v>
      </c>
      <c r="E8" s="387"/>
      <c r="F8" s="258"/>
    </row>
    <row r="11" spans="1:16307" ht="103.5" customHeight="1" x14ac:dyDescent="0.25">
      <c r="A11" s="384" t="s">
        <v>437</v>
      </c>
      <c r="B11" s="384"/>
      <c r="C11" s="384"/>
      <c r="D11" s="385"/>
      <c r="E11" s="385"/>
      <c r="F11" s="385"/>
    </row>
    <row r="12" spans="1:16307" ht="18" x14ac:dyDescent="0.25">
      <c r="A12" s="56"/>
    </row>
    <row r="13" spans="1:16307" x14ac:dyDescent="0.25">
      <c r="F13" s="57" t="s">
        <v>164</v>
      </c>
    </row>
    <row r="14" spans="1:16307" ht="55.5" customHeight="1" x14ac:dyDescent="0.25">
      <c r="A14" s="58" t="s">
        <v>21</v>
      </c>
      <c r="B14" s="59" t="s">
        <v>165</v>
      </c>
      <c r="C14" s="59" t="s">
        <v>166</v>
      </c>
      <c r="D14" s="60" t="s">
        <v>22</v>
      </c>
      <c r="E14" s="60" t="s">
        <v>152</v>
      </c>
      <c r="F14" s="60" t="s">
        <v>434</v>
      </c>
    </row>
    <row r="15" spans="1:16307" s="66" customFormat="1" ht="15.75" x14ac:dyDescent="0.25">
      <c r="A15" s="61" t="s">
        <v>167</v>
      </c>
      <c r="B15" s="62"/>
      <c r="C15" s="62"/>
      <c r="D15" s="63">
        <f>D16+D26+D35+D40+D51+D60+D78+D84+D95+D101+D104+D108+D48+D91</f>
        <v>2145898482.1799996</v>
      </c>
      <c r="E15" s="63">
        <f>E16+E26+E35+E40+E51+E60+E78+E84+E95+E101+E104+E108+E48+E91</f>
        <v>1863032766.03</v>
      </c>
      <c r="F15" s="63">
        <f>F16+F26+F35+F40+F51+F60+F78+F84+F95+F101+F104+F108+F48+F91</f>
        <v>1778557300.27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  <c r="BRZ15" s="64"/>
      <c r="BSA15" s="64"/>
      <c r="BSB15" s="64"/>
      <c r="BSC15" s="64"/>
      <c r="BSD15" s="64"/>
      <c r="BSE15" s="64"/>
      <c r="BSF15" s="64"/>
      <c r="BSG15" s="64"/>
      <c r="BSH15" s="64"/>
      <c r="BSI15" s="64"/>
      <c r="BSJ15" s="64"/>
      <c r="BSK15" s="64"/>
      <c r="BSL15" s="64"/>
      <c r="BSM15" s="64"/>
      <c r="BSN15" s="64"/>
      <c r="BSO15" s="64"/>
      <c r="BSP15" s="64"/>
      <c r="BSQ15" s="64"/>
      <c r="BSR15" s="64"/>
      <c r="BSS15" s="64"/>
      <c r="BST15" s="64"/>
      <c r="BSU15" s="64"/>
      <c r="BSV15" s="64"/>
      <c r="BSW15" s="64"/>
      <c r="BSX15" s="64"/>
      <c r="BSY15" s="64"/>
      <c r="BSZ15" s="64"/>
      <c r="BTA15" s="64"/>
      <c r="BTB15" s="64"/>
      <c r="BTC15" s="64"/>
      <c r="BTD15" s="64"/>
      <c r="BTE15" s="64"/>
      <c r="BTF15" s="64"/>
      <c r="BTG15" s="64"/>
      <c r="BTH15" s="64"/>
      <c r="BTI15" s="64"/>
      <c r="BTJ15" s="64"/>
      <c r="BTK15" s="64"/>
      <c r="BTL15" s="64"/>
      <c r="BTM15" s="64"/>
      <c r="BTN15" s="64"/>
      <c r="BTO15" s="64"/>
      <c r="BTP15" s="64"/>
      <c r="BTQ15" s="64"/>
      <c r="BTR15" s="64"/>
      <c r="BTS15" s="64"/>
      <c r="BTT15" s="64"/>
      <c r="BTU15" s="64"/>
      <c r="BTV15" s="64"/>
      <c r="BTW15" s="64"/>
      <c r="BTX15" s="64"/>
      <c r="BTY15" s="64"/>
      <c r="BTZ15" s="64"/>
      <c r="BUA15" s="64"/>
      <c r="BUB15" s="64"/>
      <c r="BUC15" s="64"/>
      <c r="BUD15" s="64"/>
      <c r="BUE15" s="64"/>
      <c r="BUF15" s="64"/>
      <c r="BUG15" s="64"/>
      <c r="BUH15" s="64"/>
      <c r="BUI15" s="64"/>
      <c r="BUJ15" s="64"/>
      <c r="BUK15" s="64"/>
      <c r="BUL15" s="64"/>
      <c r="BUM15" s="64"/>
      <c r="BUN15" s="64"/>
      <c r="BUO15" s="64"/>
      <c r="BUP15" s="64"/>
      <c r="BUQ15" s="64"/>
      <c r="BUR15" s="64"/>
      <c r="BUS15" s="64"/>
      <c r="BUT15" s="64"/>
      <c r="BUU15" s="64"/>
      <c r="BUV15" s="64"/>
      <c r="BUW15" s="64"/>
      <c r="BUX15" s="64"/>
      <c r="BUY15" s="64"/>
      <c r="BUZ15" s="64"/>
      <c r="BVA15" s="64"/>
      <c r="BVB15" s="64"/>
      <c r="BVC15" s="64"/>
      <c r="BVD15" s="64"/>
      <c r="BVE15" s="64"/>
      <c r="BVF15" s="64"/>
      <c r="BVG15" s="64"/>
      <c r="BVH15" s="64"/>
      <c r="BVI15" s="64"/>
      <c r="BVJ15" s="64"/>
      <c r="BVK15" s="64"/>
      <c r="BVL15" s="64"/>
      <c r="BVM15" s="64"/>
      <c r="BVN15" s="64"/>
      <c r="BVO15" s="64"/>
      <c r="BVP15" s="64"/>
      <c r="BVQ15" s="64"/>
      <c r="BVR15" s="64"/>
      <c r="BVS15" s="64"/>
      <c r="BVT15" s="64"/>
      <c r="BVU15" s="64"/>
      <c r="BVV15" s="64"/>
      <c r="BVW15" s="64"/>
      <c r="BVX15" s="64"/>
      <c r="BVY15" s="64"/>
      <c r="BVZ15" s="64"/>
      <c r="BWA15" s="64"/>
      <c r="BWB15" s="64"/>
      <c r="BWC15" s="64"/>
      <c r="BWD15" s="64"/>
      <c r="BWE15" s="64"/>
      <c r="BWF15" s="64"/>
      <c r="BWG15" s="64"/>
      <c r="BWH15" s="64"/>
      <c r="BWI15" s="64"/>
      <c r="BWJ15" s="64"/>
      <c r="BWK15" s="64"/>
      <c r="BWL15" s="64"/>
      <c r="BWM15" s="64"/>
      <c r="BWN15" s="64"/>
      <c r="BWO15" s="64"/>
      <c r="BWP15" s="64"/>
      <c r="BWQ15" s="64"/>
      <c r="BWR15" s="64"/>
      <c r="BWS15" s="64"/>
      <c r="BWT15" s="64"/>
      <c r="BWU15" s="64"/>
      <c r="BWV15" s="64"/>
      <c r="BWW15" s="64"/>
      <c r="BWX15" s="64"/>
      <c r="BWY15" s="64"/>
      <c r="BWZ15" s="64"/>
      <c r="BXG15" s="64"/>
      <c r="BXH15" s="64"/>
      <c r="BXI15" s="64"/>
      <c r="BXJ15" s="64"/>
      <c r="BXK15" s="64"/>
      <c r="BXL15" s="64"/>
      <c r="BXM15" s="64"/>
      <c r="BXN15" s="64"/>
      <c r="BXO15" s="64"/>
      <c r="BXP15" s="64"/>
      <c r="BXQ15" s="64"/>
      <c r="BXR15" s="64"/>
      <c r="BXS15" s="64"/>
      <c r="BXT15" s="64"/>
      <c r="BXU15" s="64"/>
      <c r="BXV15" s="64"/>
      <c r="BXW15" s="64"/>
      <c r="BXX15" s="64"/>
      <c r="BXY15" s="64"/>
      <c r="BXZ15" s="64"/>
      <c r="BYA15" s="64"/>
      <c r="BYB15" s="64"/>
      <c r="BYC15" s="64"/>
      <c r="BYD15" s="64"/>
      <c r="BYE15" s="64"/>
      <c r="BYF15" s="64"/>
      <c r="BYG15" s="64"/>
      <c r="BYH15" s="64"/>
      <c r="BYI15" s="64"/>
      <c r="BYJ15" s="64"/>
      <c r="BYK15" s="64"/>
      <c r="BYL15" s="64"/>
      <c r="BYM15" s="64"/>
      <c r="BYN15" s="64"/>
      <c r="BYO15" s="64"/>
      <c r="BYP15" s="64"/>
      <c r="BYQ15" s="64"/>
      <c r="BYR15" s="64"/>
      <c r="BYS15" s="64"/>
      <c r="BYT15" s="64"/>
      <c r="BYU15" s="64"/>
      <c r="BYV15" s="64"/>
      <c r="BYW15" s="64"/>
      <c r="BYX15" s="64"/>
      <c r="BYY15" s="64"/>
      <c r="BYZ15" s="64"/>
      <c r="BZA15" s="64"/>
      <c r="BZB15" s="64"/>
      <c r="BZC15" s="64"/>
      <c r="BZD15" s="64"/>
      <c r="BZE15" s="64"/>
      <c r="BZF15" s="64"/>
      <c r="BZG15" s="64"/>
      <c r="BZH15" s="64"/>
      <c r="BZI15" s="64"/>
      <c r="BZJ15" s="64"/>
      <c r="BZK15" s="64"/>
      <c r="BZL15" s="64"/>
      <c r="BZM15" s="64"/>
      <c r="BZN15" s="64"/>
      <c r="BZO15" s="64"/>
      <c r="BZP15" s="64"/>
      <c r="BZQ15" s="64"/>
      <c r="BZR15" s="64"/>
      <c r="BZS15" s="64"/>
      <c r="BZT15" s="64"/>
      <c r="BZU15" s="64"/>
      <c r="BZV15" s="64"/>
      <c r="BZW15" s="64"/>
      <c r="BZX15" s="64"/>
      <c r="BZY15" s="64"/>
      <c r="BZZ15" s="64"/>
      <c r="CAA15" s="64"/>
      <c r="CAB15" s="64"/>
      <c r="CAC15" s="64"/>
      <c r="CAD15" s="64"/>
      <c r="CAE15" s="64"/>
      <c r="CAF15" s="64"/>
      <c r="CAG15" s="64"/>
      <c r="CAH15" s="64"/>
      <c r="CAI15" s="64"/>
      <c r="CAJ15" s="64"/>
      <c r="CAK15" s="64"/>
      <c r="CAL15" s="64"/>
      <c r="CAM15" s="64"/>
      <c r="CAN15" s="64"/>
      <c r="CAO15" s="64"/>
      <c r="CAP15" s="64"/>
      <c r="CAQ15" s="64"/>
      <c r="CAR15" s="64"/>
      <c r="CAS15" s="64"/>
      <c r="CAT15" s="64"/>
      <c r="CAU15" s="64"/>
      <c r="CAV15" s="64"/>
      <c r="CAW15" s="64"/>
      <c r="CAX15" s="64"/>
      <c r="CAY15" s="64"/>
      <c r="CAZ15" s="64"/>
      <c r="CBA15" s="64"/>
      <c r="CBB15" s="64"/>
      <c r="CBC15" s="64"/>
      <c r="CBD15" s="64"/>
      <c r="CBE15" s="64"/>
      <c r="CBF15" s="64"/>
      <c r="CBG15" s="64"/>
      <c r="CBH15" s="64"/>
      <c r="CBI15" s="64"/>
      <c r="CBJ15" s="64"/>
      <c r="CBK15" s="64"/>
      <c r="CBL15" s="64"/>
      <c r="CBM15" s="64"/>
      <c r="CBN15" s="64"/>
      <c r="CBO15" s="64"/>
      <c r="CBP15" s="64"/>
      <c r="CBQ15" s="64"/>
      <c r="CBR15" s="64"/>
      <c r="CBS15" s="64"/>
      <c r="CBT15" s="64"/>
      <c r="CBU15" s="64"/>
      <c r="CBV15" s="64"/>
      <c r="CBW15" s="64"/>
      <c r="CBX15" s="64"/>
      <c r="CBY15" s="64"/>
      <c r="CBZ15" s="64"/>
      <c r="CCA15" s="64"/>
      <c r="CCB15" s="64"/>
      <c r="CCC15" s="64"/>
      <c r="CCD15" s="64"/>
      <c r="CCE15" s="64"/>
      <c r="CCF15" s="64"/>
      <c r="CCG15" s="64"/>
      <c r="CCH15" s="64"/>
      <c r="CCI15" s="64"/>
      <c r="CCJ15" s="64"/>
      <c r="CCK15" s="64"/>
      <c r="CCL15" s="64"/>
      <c r="CCM15" s="64"/>
      <c r="CCN15" s="64"/>
      <c r="CCO15" s="64"/>
      <c r="CCP15" s="64"/>
      <c r="CCQ15" s="64"/>
      <c r="CCR15" s="64"/>
      <c r="CCS15" s="64"/>
      <c r="CCT15" s="64"/>
      <c r="CCU15" s="64"/>
      <c r="CCV15" s="64"/>
      <c r="CCW15" s="64"/>
      <c r="CCX15" s="64"/>
      <c r="CCY15" s="64"/>
      <c r="CCZ15" s="64"/>
      <c r="CDA15" s="64"/>
      <c r="CDB15" s="64"/>
      <c r="CDC15" s="64"/>
      <c r="CDD15" s="64"/>
      <c r="CDE15" s="64"/>
      <c r="CDF15" s="64"/>
      <c r="CDG15" s="64"/>
      <c r="CDH15" s="64"/>
      <c r="CDI15" s="64"/>
      <c r="CDJ15" s="64"/>
      <c r="CDK15" s="64"/>
      <c r="CDL15" s="64"/>
      <c r="CDM15" s="64"/>
      <c r="CDN15" s="64"/>
      <c r="CDO15" s="64"/>
      <c r="CDP15" s="64"/>
      <c r="CDQ15" s="64"/>
      <c r="CDR15" s="64"/>
      <c r="CDS15" s="64"/>
      <c r="CDT15" s="64"/>
      <c r="CDU15" s="64"/>
      <c r="CDV15" s="64"/>
      <c r="CDW15" s="64"/>
      <c r="CDX15" s="64"/>
      <c r="CDY15" s="64"/>
      <c r="CDZ15" s="64"/>
      <c r="CEA15" s="64"/>
      <c r="CEB15" s="64"/>
      <c r="CEC15" s="64"/>
      <c r="CED15" s="64"/>
      <c r="CEE15" s="64"/>
      <c r="CEF15" s="64"/>
      <c r="CEG15" s="64"/>
      <c r="CEH15" s="64"/>
      <c r="CEI15" s="64"/>
      <c r="CEJ15" s="64"/>
      <c r="CEK15" s="64"/>
      <c r="CEL15" s="64"/>
      <c r="CEM15" s="64"/>
      <c r="CEN15" s="64"/>
      <c r="CEO15" s="64"/>
      <c r="CEP15" s="64"/>
      <c r="CEQ15" s="64"/>
      <c r="CER15" s="64"/>
      <c r="CES15" s="64"/>
      <c r="CET15" s="64"/>
      <c r="CEU15" s="64"/>
      <c r="CEV15" s="64"/>
      <c r="CEW15" s="64"/>
      <c r="CEX15" s="64"/>
      <c r="CEY15" s="64"/>
      <c r="CEZ15" s="64"/>
      <c r="CFA15" s="64"/>
      <c r="CFB15" s="64"/>
      <c r="CFC15" s="64"/>
      <c r="CFD15" s="64"/>
      <c r="CFE15" s="64"/>
      <c r="CFF15" s="64"/>
      <c r="CFG15" s="64"/>
      <c r="CFH15" s="64"/>
      <c r="CFI15" s="64"/>
      <c r="CFJ15" s="64"/>
      <c r="CFK15" s="64"/>
      <c r="CFL15" s="64"/>
      <c r="CFM15" s="64"/>
      <c r="CFN15" s="64"/>
      <c r="CFO15" s="64"/>
      <c r="CFP15" s="64"/>
      <c r="CFQ15" s="64"/>
      <c r="CFR15" s="64"/>
      <c r="CFS15" s="64"/>
      <c r="CFT15" s="64"/>
      <c r="CFU15" s="64"/>
      <c r="CFV15" s="64"/>
      <c r="CFW15" s="64"/>
      <c r="CFX15" s="64"/>
      <c r="CFY15" s="64"/>
      <c r="CFZ15" s="64"/>
      <c r="CGA15" s="64"/>
      <c r="CGB15" s="64"/>
      <c r="CGC15" s="64"/>
      <c r="CGD15" s="64"/>
      <c r="CGE15" s="64"/>
      <c r="CGF15" s="64"/>
      <c r="CGG15" s="64"/>
      <c r="CGH15" s="64"/>
      <c r="CGI15" s="64"/>
      <c r="CGJ15" s="64"/>
      <c r="CGK15" s="64"/>
      <c r="CGL15" s="64"/>
      <c r="CGM15" s="64"/>
      <c r="CGN15" s="64"/>
      <c r="CGO15" s="64"/>
      <c r="CGP15" s="64"/>
      <c r="CGQ15" s="64"/>
      <c r="CGR15" s="64"/>
      <c r="CGS15" s="64"/>
      <c r="CGT15" s="64"/>
      <c r="CGU15" s="64"/>
      <c r="CGV15" s="64"/>
      <c r="CHC15" s="64"/>
      <c r="CHD15" s="64"/>
      <c r="CHE15" s="64"/>
      <c r="CHF15" s="64"/>
      <c r="CHG15" s="64"/>
      <c r="CHH15" s="64"/>
      <c r="CHI15" s="64"/>
      <c r="CHJ15" s="64"/>
      <c r="CHK15" s="64"/>
      <c r="CHL15" s="64"/>
      <c r="CHM15" s="64"/>
      <c r="CHN15" s="64"/>
      <c r="CHO15" s="64"/>
      <c r="CHP15" s="64"/>
      <c r="CHQ15" s="64"/>
      <c r="CHR15" s="64"/>
      <c r="CHS15" s="64"/>
      <c r="CHT15" s="64"/>
      <c r="CHU15" s="64"/>
      <c r="CHV15" s="64"/>
      <c r="CHW15" s="64"/>
      <c r="CHX15" s="64"/>
      <c r="CHY15" s="64"/>
      <c r="CHZ15" s="64"/>
      <c r="CIA15" s="64"/>
      <c r="CIB15" s="64"/>
      <c r="CIC15" s="64"/>
      <c r="CID15" s="64"/>
      <c r="CIE15" s="64"/>
      <c r="CIF15" s="64"/>
      <c r="CIG15" s="64"/>
      <c r="CIH15" s="64"/>
      <c r="CII15" s="64"/>
      <c r="CIJ15" s="64"/>
      <c r="CIK15" s="64"/>
      <c r="CIL15" s="64"/>
      <c r="CIM15" s="64"/>
      <c r="CIN15" s="64"/>
      <c r="CIO15" s="64"/>
      <c r="CIP15" s="64"/>
      <c r="CIQ15" s="64"/>
      <c r="CIR15" s="64"/>
      <c r="CIS15" s="64"/>
      <c r="CIT15" s="64"/>
      <c r="CIU15" s="64"/>
      <c r="CIV15" s="64"/>
      <c r="CIW15" s="64"/>
      <c r="CIX15" s="64"/>
      <c r="CIY15" s="64"/>
      <c r="CIZ15" s="64"/>
      <c r="CJA15" s="64"/>
      <c r="CJB15" s="64"/>
      <c r="CJC15" s="64"/>
      <c r="CJD15" s="64"/>
      <c r="CJE15" s="64"/>
      <c r="CJF15" s="64"/>
      <c r="CJG15" s="64"/>
      <c r="CJH15" s="64"/>
      <c r="CJI15" s="64"/>
      <c r="CJJ15" s="64"/>
      <c r="CJK15" s="64"/>
      <c r="CJL15" s="64"/>
      <c r="CJM15" s="64"/>
      <c r="CJN15" s="64"/>
      <c r="CJO15" s="64"/>
      <c r="CJP15" s="64"/>
      <c r="CJQ15" s="64"/>
      <c r="CJR15" s="64"/>
      <c r="CJS15" s="64"/>
      <c r="CJT15" s="64"/>
      <c r="CJU15" s="64"/>
      <c r="CJV15" s="64"/>
      <c r="CJW15" s="64"/>
      <c r="CJX15" s="64"/>
      <c r="CJY15" s="64"/>
      <c r="CJZ15" s="64"/>
      <c r="CKA15" s="64"/>
      <c r="CKB15" s="64"/>
      <c r="CKC15" s="64"/>
      <c r="CKD15" s="64"/>
      <c r="CKE15" s="64"/>
      <c r="CKF15" s="64"/>
      <c r="CKG15" s="64"/>
      <c r="CKH15" s="64"/>
      <c r="CKI15" s="64"/>
      <c r="CKJ15" s="64"/>
      <c r="CKK15" s="64"/>
      <c r="CKL15" s="64"/>
      <c r="CKM15" s="64"/>
      <c r="CKN15" s="64"/>
      <c r="CKO15" s="64"/>
      <c r="CKP15" s="64"/>
      <c r="CKQ15" s="64"/>
      <c r="CKR15" s="64"/>
      <c r="CKS15" s="64"/>
      <c r="CKT15" s="64"/>
      <c r="CKU15" s="64"/>
      <c r="CKV15" s="64"/>
      <c r="CKW15" s="64"/>
      <c r="CKX15" s="64"/>
      <c r="CKY15" s="64"/>
      <c r="CKZ15" s="64"/>
      <c r="CLA15" s="64"/>
      <c r="CLB15" s="64"/>
      <c r="CLC15" s="64"/>
      <c r="CLD15" s="64"/>
      <c r="CLE15" s="64"/>
      <c r="CLF15" s="64"/>
      <c r="CLG15" s="64"/>
      <c r="CLH15" s="64"/>
      <c r="CLI15" s="64"/>
      <c r="CLJ15" s="64"/>
      <c r="CLK15" s="64"/>
      <c r="CLL15" s="64"/>
      <c r="CLM15" s="64"/>
      <c r="CLN15" s="64"/>
      <c r="CLO15" s="64"/>
      <c r="CLP15" s="64"/>
      <c r="CLQ15" s="64"/>
      <c r="CLR15" s="64"/>
      <c r="CLS15" s="64"/>
      <c r="CLT15" s="64"/>
      <c r="CLU15" s="64"/>
      <c r="CLV15" s="64"/>
      <c r="CLW15" s="64"/>
      <c r="CLX15" s="64"/>
      <c r="CLY15" s="64"/>
      <c r="CLZ15" s="64"/>
      <c r="CMA15" s="64"/>
      <c r="CMB15" s="64"/>
      <c r="CMC15" s="64"/>
      <c r="CMD15" s="64"/>
      <c r="CME15" s="64"/>
      <c r="CMF15" s="64"/>
      <c r="CMG15" s="64"/>
      <c r="CMH15" s="64"/>
      <c r="CMI15" s="64"/>
      <c r="CMJ15" s="64"/>
      <c r="CMK15" s="64"/>
      <c r="CML15" s="64"/>
      <c r="CMM15" s="64"/>
      <c r="CMN15" s="64"/>
      <c r="CMO15" s="64"/>
      <c r="CMP15" s="64"/>
      <c r="CMQ15" s="64"/>
      <c r="CMR15" s="64"/>
      <c r="CMS15" s="64"/>
      <c r="CMT15" s="64"/>
      <c r="CMU15" s="64"/>
      <c r="CMV15" s="64"/>
      <c r="CMW15" s="64"/>
      <c r="CMX15" s="64"/>
      <c r="CMY15" s="64"/>
      <c r="CMZ15" s="64"/>
      <c r="CNA15" s="64"/>
      <c r="CNB15" s="64"/>
      <c r="CNC15" s="64"/>
      <c r="CND15" s="64"/>
      <c r="CNE15" s="64"/>
      <c r="CNF15" s="64"/>
      <c r="CNG15" s="64"/>
      <c r="CNH15" s="64"/>
      <c r="CNI15" s="64"/>
      <c r="CNJ15" s="64"/>
      <c r="CNK15" s="64"/>
      <c r="CNL15" s="64"/>
      <c r="CNM15" s="64"/>
      <c r="CNN15" s="64"/>
      <c r="CNO15" s="64"/>
      <c r="CNP15" s="64"/>
      <c r="CNQ15" s="64"/>
      <c r="CNR15" s="64"/>
      <c r="CNS15" s="64"/>
      <c r="CNT15" s="64"/>
      <c r="CNU15" s="64"/>
      <c r="CNV15" s="64"/>
      <c r="CNW15" s="64"/>
      <c r="CNX15" s="64"/>
      <c r="CNY15" s="64"/>
      <c r="CNZ15" s="64"/>
      <c r="COA15" s="64"/>
      <c r="COB15" s="64"/>
      <c r="COC15" s="64"/>
      <c r="COD15" s="64"/>
      <c r="COE15" s="64"/>
      <c r="COF15" s="64"/>
      <c r="COG15" s="64"/>
      <c r="COH15" s="64"/>
      <c r="COI15" s="64"/>
      <c r="COJ15" s="64"/>
      <c r="COK15" s="64"/>
      <c r="COL15" s="64"/>
      <c r="COM15" s="64"/>
      <c r="CON15" s="64"/>
      <c r="COO15" s="64"/>
      <c r="COP15" s="64"/>
      <c r="COQ15" s="64"/>
      <c r="COR15" s="64"/>
      <c r="COS15" s="64"/>
      <c r="COT15" s="64"/>
      <c r="COU15" s="64"/>
      <c r="COV15" s="64"/>
      <c r="COW15" s="64"/>
      <c r="COX15" s="64"/>
      <c r="COY15" s="64"/>
      <c r="COZ15" s="64"/>
      <c r="CPA15" s="64"/>
      <c r="CPB15" s="64"/>
      <c r="CPC15" s="64"/>
      <c r="CPD15" s="64"/>
      <c r="CPE15" s="64"/>
      <c r="CPF15" s="64"/>
      <c r="CPG15" s="64"/>
      <c r="CPH15" s="64"/>
      <c r="CPI15" s="64"/>
      <c r="CPJ15" s="64"/>
      <c r="CPK15" s="64"/>
      <c r="CPL15" s="64"/>
      <c r="CPM15" s="64"/>
      <c r="CPN15" s="64"/>
      <c r="CPO15" s="64"/>
      <c r="CPP15" s="64"/>
      <c r="CPQ15" s="64"/>
      <c r="CPR15" s="64"/>
      <c r="CPS15" s="64"/>
      <c r="CPT15" s="64"/>
      <c r="CPU15" s="64"/>
      <c r="CPV15" s="64"/>
      <c r="CPW15" s="64"/>
      <c r="CPX15" s="64"/>
      <c r="CPY15" s="64"/>
      <c r="CPZ15" s="64"/>
      <c r="CQA15" s="64"/>
      <c r="CQB15" s="64"/>
      <c r="CQC15" s="64"/>
      <c r="CQD15" s="64"/>
      <c r="CQE15" s="64"/>
      <c r="CQF15" s="64"/>
      <c r="CQG15" s="64"/>
      <c r="CQH15" s="64"/>
      <c r="CQI15" s="64"/>
      <c r="CQJ15" s="64"/>
      <c r="CQK15" s="64"/>
      <c r="CQL15" s="64"/>
      <c r="CQM15" s="64"/>
      <c r="CQN15" s="64"/>
      <c r="CQO15" s="64"/>
      <c r="CQP15" s="64"/>
      <c r="CQQ15" s="64"/>
      <c r="CQR15" s="64"/>
      <c r="CQY15" s="64"/>
      <c r="CQZ15" s="64"/>
      <c r="CRA15" s="64"/>
      <c r="CRB15" s="64"/>
      <c r="CRC15" s="64"/>
      <c r="CRD15" s="64"/>
      <c r="CRE15" s="64"/>
      <c r="CRF15" s="64"/>
      <c r="CRG15" s="64"/>
      <c r="CRH15" s="64"/>
      <c r="CRI15" s="64"/>
      <c r="CRJ15" s="64"/>
      <c r="CRK15" s="64"/>
      <c r="CRL15" s="64"/>
      <c r="CRM15" s="64"/>
      <c r="CRN15" s="64"/>
      <c r="CRO15" s="64"/>
      <c r="CRP15" s="64"/>
      <c r="CRQ15" s="64"/>
      <c r="CRR15" s="64"/>
      <c r="CRS15" s="64"/>
      <c r="CRT15" s="64"/>
      <c r="CRU15" s="64"/>
      <c r="CRV15" s="64"/>
      <c r="CRW15" s="64"/>
      <c r="CRX15" s="64"/>
      <c r="CRY15" s="64"/>
      <c r="CRZ15" s="64"/>
      <c r="CSA15" s="64"/>
      <c r="CSB15" s="64"/>
      <c r="CSC15" s="64"/>
      <c r="CSD15" s="64"/>
      <c r="CSE15" s="64"/>
      <c r="CSF15" s="64"/>
      <c r="CSG15" s="64"/>
      <c r="CSH15" s="64"/>
      <c r="CSI15" s="64"/>
      <c r="CSJ15" s="64"/>
      <c r="CSK15" s="64"/>
      <c r="CSL15" s="64"/>
      <c r="CSM15" s="64"/>
      <c r="CSN15" s="64"/>
      <c r="CSO15" s="64"/>
      <c r="CSP15" s="64"/>
      <c r="CSQ15" s="64"/>
      <c r="CSR15" s="64"/>
      <c r="CSS15" s="64"/>
      <c r="CST15" s="64"/>
      <c r="CSU15" s="64"/>
      <c r="CSV15" s="64"/>
      <c r="CSW15" s="64"/>
      <c r="CSX15" s="64"/>
      <c r="CSY15" s="64"/>
      <c r="CSZ15" s="64"/>
      <c r="CTA15" s="64"/>
      <c r="CTB15" s="64"/>
      <c r="CTC15" s="64"/>
      <c r="CTD15" s="64"/>
      <c r="CTE15" s="64"/>
      <c r="CTF15" s="64"/>
      <c r="CTG15" s="64"/>
      <c r="CTH15" s="64"/>
      <c r="CTI15" s="64"/>
      <c r="CTJ15" s="64"/>
      <c r="CTK15" s="64"/>
      <c r="CTL15" s="64"/>
      <c r="CTM15" s="64"/>
      <c r="CTN15" s="64"/>
      <c r="CTO15" s="64"/>
      <c r="CTP15" s="64"/>
      <c r="CTQ15" s="64"/>
      <c r="CTR15" s="64"/>
      <c r="CTS15" s="64"/>
      <c r="CTT15" s="64"/>
      <c r="CTU15" s="64"/>
      <c r="CTV15" s="64"/>
      <c r="CTW15" s="64"/>
      <c r="CTX15" s="64"/>
      <c r="CTY15" s="64"/>
      <c r="CTZ15" s="64"/>
      <c r="CUA15" s="64"/>
      <c r="CUB15" s="64"/>
      <c r="CUC15" s="64"/>
      <c r="CUD15" s="64"/>
      <c r="CUE15" s="64"/>
      <c r="CUF15" s="64"/>
      <c r="CUG15" s="64"/>
      <c r="CUH15" s="64"/>
      <c r="CUI15" s="64"/>
      <c r="CUJ15" s="64"/>
      <c r="CUK15" s="64"/>
      <c r="CUL15" s="64"/>
      <c r="CUM15" s="64"/>
      <c r="CUN15" s="64"/>
      <c r="CUO15" s="64"/>
      <c r="CUP15" s="64"/>
      <c r="CUQ15" s="64"/>
      <c r="CUR15" s="64"/>
      <c r="CUS15" s="64"/>
      <c r="CUT15" s="64"/>
      <c r="CUU15" s="64"/>
      <c r="CUV15" s="64"/>
      <c r="CUW15" s="64"/>
      <c r="CUX15" s="64"/>
      <c r="CUY15" s="64"/>
      <c r="CUZ15" s="64"/>
      <c r="CVA15" s="64"/>
      <c r="CVB15" s="64"/>
      <c r="CVC15" s="64"/>
      <c r="CVD15" s="64"/>
      <c r="CVE15" s="64"/>
      <c r="CVF15" s="64"/>
      <c r="CVG15" s="64"/>
      <c r="CVH15" s="64"/>
      <c r="CVI15" s="64"/>
      <c r="CVJ15" s="64"/>
      <c r="CVK15" s="64"/>
      <c r="CVL15" s="64"/>
      <c r="CVM15" s="64"/>
      <c r="CVN15" s="64"/>
      <c r="CVO15" s="64"/>
      <c r="CVP15" s="64"/>
      <c r="CVQ15" s="64"/>
      <c r="CVR15" s="64"/>
      <c r="CVS15" s="64"/>
      <c r="CVT15" s="64"/>
      <c r="CVU15" s="64"/>
      <c r="CVV15" s="64"/>
      <c r="CVW15" s="64"/>
      <c r="CVX15" s="64"/>
      <c r="CVY15" s="64"/>
      <c r="CVZ15" s="64"/>
      <c r="CWA15" s="64"/>
      <c r="CWB15" s="64"/>
      <c r="CWC15" s="64"/>
      <c r="CWD15" s="64"/>
      <c r="CWE15" s="64"/>
      <c r="CWF15" s="64"/>
      <c r="CWG15" s="64"/>
      <c r="CWH15" s="64"/>
      <c r="CWI15" s="64"/>
      <c r="CWJ15" s="64"/>
      <c r="CWK15" s="64"/>
      <c r="CWL15" s="64"/>
      <c r="CWM15" s="64"/>
      <c r="CWN15" s="64"/>
      <c r="CWO15" s="64"/>
      <c r="CWP15" s="64"/>
      <c r="CWQ15" s="64"/>
      <c r="CWR15" s="64"/>
      <c r="CWS15" s="64"/>
      <c r="CWT15" s="64"/>
      <c r="CWU15" s="64"/>
      <c r="CWV15" s="64"/>
      <c r="CWW15" s="64"/>
      <c r="CWX15" s="64"/>
      <c r="CWY15" s="64"/>
      <c r="CWZ15" s="64"/>
      <c r="CXA15" s="64"/>
      <c r="CXB15" s="64"/>
      <c r="CXC15" s="64"/>
      <c r="CXD15" s="64"/>
      <c r="CXE15" s="64"/>
      <c r="CXF15" s="64"/>
      <c r="CXG15" s="64"/>
      <c r="CXH15" s="64"/>
      <c r="CXI15" s="64"/>
      <c r="CXJ15" s="64"/>
      <c r="CXK15" s="64"/>
      <c r="CXL15" s="64"/>
      <c r="CXM15" s="64"/>
      <c r="CXN15" s="64"/>
      <c r="CXO15" s="64"/>
      <c r="CXP15" s="64"/>
      <c r="CXQ15" s="64"/>
      <c r="CXR15" s="64"/>
      <c r="CXS15" s="64"/>
      <c r="CXT15" s="64"/>
      <c r="CXU15" s="64"/>
      <c r="CXV15" s="64"/>
      <c r="CXW15" s="64"/>
      <c r="CXX15" s="64"/>
      <c r="CXY15" s="64"/>
      <c r="CXZ15" s="64"/>
      <c r="CYA15" s="64"/>
      <c r="CYB15" s="64"/>
      <c r="CYC15" s="64"/>
      <c r="CYD15" s="64"/>
      <c r="CYE15" s="64"/>
      <c r="CYF15" s="64"/>
      <c r="CYG15" s="64"/>
      <c r="CYH15" s="64"/>
      <c r="CYI15" s="64"/>
      <c r="CYJ15" s="64"/>
      <c r="CYK15" s="64"/>
      <c r="CYL15" s="64"/>
      <c r="CYM15" s="64"/>
      <c r="CYN15" s="64"/>
      <c r="CYO15" s="64"/>
      <c r="CYP15" s="64"/>
      <c r="CYQ15" s="64"/>
      <c r="CYR15" s="64"/>
      <c r="CYS15" s="64"/>
      <c r="CYT15" s="64"/>
      <c r="CYU15" s="64"/>
      <c r="CYV15" s="64"/>
      <c r="CYW15" s="64"/>
      <c r="CYX15" s="64"/>
      <c r="CYY15" s="64"/>
      <c r="CYZ15" s="64"/>
      <c r="CZA15" s="64"/>
      <c r="CZB15" s="64"/>
      <c r="CZC15" s="64"/>
      <c r="CZD15" s="64"/>
      <c r="CZE15" s="64"/>
      <c r="CZF15" s="64"/>
      <c r="CZG15" s="64"/>
      <c r="CZH15" s="64"/>
      <c r="CZI15" s="64"/>
      <c r="CZJ15" s="64"/>
      <c r="CZK15" s="64"/>
      <c r="CZL15" s="64"/>
      <c r="CZM15" s="64"/>
      <c r="CZN15" s="64"/>
      <c r="CZO15" s="64"/>
      <c r="CZP15" s="64"/>
      <c r="CZQ15" s="64"/>
      <c r="CZR15" s="64"/>
      <c r="CZS15" s="64"/>
      <c r="CZT15" s="64"/>
      <c r="CZU15" s="64"/>
      <c r="CZV15" s="64"/>
      <c r="CZW15" s="64"/>
      <c r="CZX15" s="64"/>
      <c r="CZY15" s="64"/>
      <c r="CZZ15" s="64"/>
      <c r="DAA15" s="64"/>
      <c r="DAB15" s="64"/>
      <c r="DAC15" s="64"/>
      <c r="DAD15" s="64"/>
      <c r="DAE15" s="64"/>
      <c r="DAF15" s="64"/>
      <c r="DAG15" s="64"/>
      <c r="DAH15" s="64"/>
      <c r="DAI15" s="64"/>
      <c r="DAJ15" s="64"/>
      <c r="DAK15" s="64"/>
      <c r="DAL15" s="64"/>
      <c r="DAM15" s="64"/>
      <c r="DAN15" s="64"/>
      <c r="DAU15" s="64"/>
      <c r="DAV15" s="64"/>
      <c r="DAW15" s="64"/>
      <c r="DAX15" s="64"/>
      <c r="DAY15" s="64"/>
      <c r="DAZ15" s="64"/>
      <c r="DBA15" s="64"/>
      <c r="DBB15" s="64"/>
      <c r="DBC15" s="64"/>
      <c r="DBD15" s="64"/>
      <c r="DBE15" s="64"/>
      <c r="DBF15" s="64"/>
      <c r="DBG15" s="64"/>
      <c r="DBH15" s="64"/>
      <c r="DBI15" s="64"/>
      <c r="DBJ15" s="64"/>
      <c r="DBK15" s="64"/>
      <c r="DBL15" s="64"/>
      <c r="DBM15" s="64"/>
      <c r="DBN15" s="64"/>
      <c r="DBO15" s="64"/>
      <c r="DBP15" s="64"/>
      <c r="DBQ15" s="64"/>
      <c r="DBR15" s="64"/>
      <c r="DBS15" s="64"/>
      <c r="DBT15" s="64"/>
      <c r="DBU15" s="64"/>
      <c r="DBV15" s="64"/>
      <c r="DBW15" s="64"/>
      <c r="DBX15" s="64"/>
      <c r="DBY15" s="64"/>
      <c r="DBZ15" s="64"/>
      <c r="DCA15" s="64"/>
      <c r="DCB15" s="64"/>
      <c r="DCC15" s="64"/>
      <c r="DCD15" s="64"/>
      <c r="DCE15" s="64"/>
      <c r="DCF15" s="64"/>
      <c r="DCG15" s="64"/>
      <c r="DCH15" s="64"/>
      <c r="DCI15" s="64"/>
      <c r="DCJ15" s="64"/>
      <c r="DCK15" s="64"/>
      <c r="DCL15" s="64"/>
      <c r="DCM15" s="64"/>
      <c r="DCN15" s="64"/>
      <c r="DCO15" s="64"/>
      <c r="DCP15" s="64"/>
      <c r="DCQ15" s="64"/>
      <c r="DCR15" s="64"/>
      <c r="DCS15" s="64"/>
      <c r="DCT15" s="64"/>
      <c r="DCU15" s="64"/>
      <c r="DCV15" s="64"/>
      <c r="DCW15" s="64"/>
      <c r="DCX15" s="64"/>
      <c r="DCY15" s="64"/>
      <c r="DCZ15" s="64"/>
      <c r="DDA15" s="64"/>
      <c r="DDB15" s="64"/>
      <c r="DDC15" s="64"/>
      <c r="DDD15" s="64"/>
      <c r="DDE15" s="64"/>
      <c r="DDF15" s="64"/>
      <c r="DDG15" s="64"/>
      <c r="DDH15" s="64"/>
      <c r="DDI15" s="64"/>
      <c r="DDJ15" s="64"/>
      <c r="DDK15" s="64"/>
      <c r="DDL15" s="64"/>
      <c r="DDM15" s="64"/>
      <c r="DDN15" s="64"/>
      <c r="DDO15" s="64"/>
      <c r="DDP15" s="64"/>
      <c r="DDQ15" s="64"/>
      <c r="DDR15" s="64"/>
      <c r="DDS15" s="64"/>
      <c r="DDT15" s="64"/>
      <c r="DDU15" s="64"/>
      <c r="DDV15" s="64"/>
      <c r="DDW15" s="64"/>
      <c r="DDX15" s="64"/>
      <c r="DDY15" s="64"/>
      <c r="DDZ15" s="64"/>
      <c r="DEA15" s="64"/>
      <c r="DEB15" s="64"/>
      <c r="DEC15" s="64"/>
      <c r="DED15" s="64"/>
      <c r="DEE15" s="64"/>
      <c r="DEF15" s="64"/>
      <c r="DEG15" s="64"/>
      <c r="DEH15" s="64"/>
      <c r="DEI15" s="64"/>
      <c r="DEJ15" s="64"/>
      <c r="DEK15" s="64"/>
      <c r="DEL15" s="64"/>
      <c r="DEM15" s="64"/>
      <c r="DEN15" s="64"/>
      <c r="DEO15" s="64"/>
      <c r="DEP15" s="64"/>
      <c r="DEQ15" s="64"/>
      <c r="DER15" s="64"/>
      <c r="DES15" s="64"/>
      <c r="DET15" s="64"/>
      <c r="DEU15" s="64"/>
      <c r="DEV15" s="64"/>
      <c r="DEW15" s="64"/>
      <c r="DEX15" s="64"/>
      <c r="DEY15" s="64"/>
      <c r="DEZ15" s="64"/>
      <c r="DFA15" s="64"/>
      <c r="DFB15" s="64"/>
      <c r="DFC15" s="64"/>
      <c r="DFD15" s="64"/>
      <c r="DFE15" s="64"/>
      <c r="DFF15" s="64"/>
      <c r="DFG15" s="64"/>
      <c r="DFH15" s="64"/>
      <c r="DFI15" s="64"/>
      <c r="DFJ15" s="64"/>
      <c r="DFK15" s="64"/>
      <c r="DFL15" s="64"/>
      <c r="DFM15" s="64"/>
      <c r="DFN15" s="64"/>
      <c r="DFO15" s="64"/>
      <c r="DFP15" s="64"/>
      <c r="DFQ15" s="64"/>
      <c r="DFR15" s="64"/>
      <c r="DFS15" s="64"/>
      <c r="DFT15" s="64"/>
      <c r="DFU15" s="64"/>
      <c r="DFV15" s="64"/>
      <c r="DFW15" s="64"/>
      <c r="DFX15" s="64"/>
      <c r="DFY15" s="64"/>
      <c r="DFZ15" s="64"/>
      <c r="DGA15" s="64"/>
      <c r="DGB15" s="64"/>
      <c r="DGC15" s="64"/>
      <c r="DGD15" s="64"/>
      <c r="DGE15" s="64"/>
      <c r="DGF15" s="64"/>
      <c r="DGG15" s="64"/>
      <c r="DGH15" s="64"/>
      <c r="DGI15" s="64"/>
      <c r="DGJ15" s="64"/>
      <c r="DGK15" s="64"/>
      <c r="DGL15" s="64"/>
      <c r="DGM15" s="64"/>
      <c r="DGN15" s="64"/>
      <c r="DGO15" s="64"/>
      <c r="DGP15" s="64"/>
      <c r="DGQ15" s="64"/>
      <c r="DGR15" s="64"/>
      <c r="DGS15" s="64"/>
      <c r="DGT15" s="64"/>
      <c r="DGU15" s="64"/>
      <c r="DGV15" s="64"/>
      <c r="DGW15" s="64"/>
      <c r="DGX15" s="64"/>
      <c r="DGY15" s="64"/>
      <c r="DGZ15" s="64"/>
      <c r="DHA15" s="64"/>
      <c r="DHB15" s="64"/>
      <c r="DHC15" s="64"/>
      <c r="DHD15" s="64"/>
      <c r="DHE15" s="64"/>
      <c r="DHF15" s="64"/>
      <c r="DHG15" s="64"/>
      <c r="DHH15" s="64"/>
      <c r="DHI15" s="64"/>
      <c r="DHJ15" s="64"/>
      <c r="DHK15" s="64"/>
      <c r="DHL15" s="64"/>
      <c r="DHM15" s="64"/>
      <c r="DHN15" s="64"/>
      <c r="DHO15" s="64"/>
      <c r="DHP15" s="64"/>
      <c r="DHQ15" s="64"/>
      <c r="DHR15" s="64"/>
      <c r="DHS15" s="64"/>
      <c r="DHT15" s="64"/>
      <c r="DHU15" s="64"/>
      <c r="DHV15" s="64"/>
      <c r="DHW15" s="64"/>
      <c r="DHX15" s="64"/>
      <c r="DHY15" s="64"/>
      <c r="DHZ15" s="64"/>
      <c r="DIA15" s="64"/>
      <c r="DIB15" s="64"/>
      <c r="DIC15" s="64"/>
      <c r="DID15" s="64"/>
      <c r="DIE15" s="64"/>
      <c r="DIF15" s="64"/>
      <c r="DIG15" s="64"/>
      <c r="DIH15" s="64"/>
      <c r="DII15" s="64"/>
      <c r="DIJ15" s="64"/>
      <c r="DIK15" s="64"/>
      <c r="DIL15" s="64"/>
      <c r="DIM15" s="64"/>
      <c r="DIN15" s="64"/>
      <c r="DIO15" s="64"/>
      <c r="DIP15" s="64"/>
      <c r="DIQ15" s="64"/>
      <c r="DIR15" s="64"/>
      <c r="DIS15" s="64"/>
      <c r="DIT15" s="64"/>
      <c r="DIU15" s="64"/>
      <c r="DIV15" s="64"/>
      <c r="DIW15" s="64"/>
      <c r="DIX15" s="64"/>
      <c r="DIY15" s="64"/>
      <c r="DIZ15" s="64"/>
      <c r="DJA15" s="64"/>
      <c r="DJB15" s="64"/>
      <c r="DJC15" s="64"/>
      <c r="DJD15" s="64"/>
      <c r="DJE15" s="64"/>
      <c r="DJF15" s="64"/>
      <c r="DJG15" s="64"/>
      <c r="DJH15" s="64"/>
      <c r="DJI15" s="64"/>
      <c r="DJJ15" s="64"/>
      <c r="DJK15" s="64"/>
      <c r="DJL15" s="64"/>
      <c r="DJM15" s="64"/>
      <c r="DJN15" s="64"/>
      <c r="DJO15" s="64"/>
      <c r="DJP15" s="64"/>
      <c r="DJQ15" s="64"/>
      <c r="DJR15" s="64"/>
      <c r="DJS15" s="64"/>
      <c r="DJT15" s="64"/>
      <c r="DJU15" s="64"/>
      <c r="DJV15" s="64"/>
      <c r="DJW15" s="64"/>
      <c r="DJX15" s="64"/>
      <c r="DJY15" s="64"/>
      <c r="DJZ15" s="64"/>
      <c r="DKA15" s="64"/>
      <c r="DKB15" s="64"/>
      <c r="DKC15" s="64"/>
      <c r="DKD15" s="64"/>
      <c r="DKE15" s="64"/>
      <c r="DKF15" s="64"/>
      <c r="DKG15" s="64"/>
      <c r="DKH15" s="64"/>
      <c r="DKI15" s="64"/>
      <c r="DKJ15" s="64"/>
      <c r="DKQ15" s="64"/>
      <c r="DKR15" s="64"/>
      <c r="DKS15" s="64"/>
      <c r="DKT15" s="64"/>
      <c r="DKU15" s="64"/>
      <c r="DKV15" s="64"/>
      <c r="DKW15" s="64"/>
      <c r="DKX15" s="64"/>
      <c r="DKY15" s="64"/>
      <c r="DKZ15" s="64"/>
      <c r="DLA15" s="64"/>
      <c r="DLB15" s="64"/>
      <c r="DLC15" s="64"/>
      <c r="DLD15" s="64"/>
      <c r="DLE15" s="64"/>
      <c r="DLF15" s="64"/>
      <c r="DLG15" s="64"/>
      <c r="DLH15" s="64"/>
      <c r="DLI15" s="64"/>
      <c r="DLJ15" s="64"/>
      <c r="DLK15" s="64"/>
      <c r="DLL15" s="64"/>
      <c r="DLM15" s="64"/>
      <c r="DLN15" s="64"/>
      <c r="DLO15" s="64"/>
      <c r="DLP15" s="64"/>
      <c r="DLQ15" s="64"/>
      <c r="DLR15" s="64"/>
      <c r="DLS15" s="64"/>
      <c r="DLT15" s="64"/>
      <c r="DLU15" s="64"/>
      <c r="DLV15" s="64"/>
      <c r="DLW15" s="64"/>
      <c r="DLX15" s="64"/>
      <c r="DLY15" s="64"/>
      <c r="DLZ15" s="64"/>
      <c r="DMA15" s="64"/>
      <c r="DMB15" s="64"/>
      <c r="DMC15" s="64"/>
      <c r="DMD15" s="64"/>
      <c r="DME15" s="64"/>
      <c r="DMF15" s="64"/>
      <c r="DMG15" s="64"/>
      <c r="DMH15" s="64"/>
      <c r="DMI15" s="64"/>
      <c r="DMJ15" s="64"/>
      <c r="DMK15" s="64"/>
      <c r="DML15" s="64"/>
      <c r="DMM15" s="64"/>
      <c r="DMN15" s="64"/>
      <c r="DMO15" s="64"/>
      <c r="DMP15" s="64"/>
      <c r="DMQ15" s="64"/>
      <c r="DMR15" s="64"/>
      <c r="DMS15" s="64"/>
      <c r="DMT15" s="64"/>
      <c r="DMU15" s="64"/>
      <c r="DMV15" s="64"/>
      <c r="DMW15" s="64"/>
      <c r="DMX15" s="64"/>
      <c r="DMY15" s="64"/>
      <c r="DMZ15" s="64"/>
      <c r="DNA15" s="64"/>
      <c r="DNB15" s="64"/>
      <c r="DNC15" s="64"/>
      <c r="DND15" s="64"/>
      <c r="DNE15" s="64"/>
      <c r="DNF15" s="64"/>
      <c r="DNG15" s="64"/>
      <c r="DNH15" s="64"/>
      <c r="DNI15" s="64"/>
      <c r="DNJ15" s="64"/>
      <c r="DNK15" s="64"/>
      <c r="DNL15" s="64"/>
      <c r="DNM15" s="64"/>
      <c r="DNN15" s="64"/>
      <c r="DNO15" s="64"/>
      <c r="DNP15" s="64"/>
      <c r="DNQ15" s="64"/>
      <c r="DNR15" s="64"/>
      <c r="DNS15" s="64"/>
      <c r="DNT15" s="64"/>
      <c r="DNU15" s="64"/>
      <c r="DNV15" s="64"/>
      <c r="DNW15" s="64"/>
      <c r="DNX15" s="64"/>
      <c r="DNY15" s="64"/>
      <c r="DNZ15" s="64"/>
      <c r="DOA15" s="64"/>
      <c r="DOB15" s="64"/>
      <c r="DOC15" s="64"/>
      <c r="DOD15" s="64"/>
      <c r="DOE15" s="64"/>
      <c r="DOF15" s="64"/>
      <c r="DOG15" s="64"/>
      <c r="DOH15" s="64"/>
      <c r="DOI15" s="64"/>
      <c r="DOJ15" s="64"/>
      <c r="DOK15" s="64"/>
      <c r="DOL15" s="64"/>
      <c r="DOM15" s="64"/>
      <c r="DON15" s="64"/>
      <c r="DOO15" s="64"/>
      <c r="DOP15" s="64"/>
      <c r="DOQ15" s="64"/>
      <c r="DOR15" s="64"/>
      <c r="DOS15" s="64"/>
      <c r="DOT15" s="64"/>
      <c r="DOU15" s="64"/>
      <c r="DOV15" s="64"/>
      <c r="DOW15" s="64"/>
      <c r="DOX15" s="64"/>
      <c r="DOY15" s="64"/>
      <c r="DOZ15" s="64"/>
      <c r="DPA15" s="64"/>
      <c r="DPB15" s="64"/>
      <c r="DPC15" s="64"/>
      <c r="DPD15" s="64"/>
      <c r="DPE15" s="64"/>
      <c r="DPF15" s="64"/>
      <c r="DPG15" s="64"/>
      <c r="DPH15" s="64"/>
      <c r="DPI15" s="64"/>
      <c r="DPJ15" s="64"/>
      <c r="DPK15" s="64"/>
      <c r="DPL15" s="64"/>
      <c r="DPM15" s="64"/>
      <c r="DPN15" s="64"/>
      <c r="DPO15" s="64"/>
      <c r="DPP15" s="64"/>
      <c r="DPQ15" s="64"/>
      <c r="DPR15" s="64"/>
      <c r="DPS15" s="64"/>
      <c r="DPT15" s="64"/>
      <c r="DPU15" s="64"/>
      <c r="DPV15" s="64"/>
      <c r="DPW15" s="64"/>
      <c r="DPX15" s="64"/>
      <c r="DPY15" s="64"/>
      <c r="DPZ15" s="64"/>
      <c r="DQA15" s="64"/>
      <c r="DQB15" s="64"/>
      <c r="DQC15" s="64"/>
      <c r="DQD15" s="64"/>
      <c r="DQE15" s="64"/>
      <c r="DQF15" s="64"/>
      <c r="DQG15" s="64"/>
      <c r="DQH15" s="64"/>
      <c r="DQI15" s="64"/>
      <c r="DQJ15" s="64"/>
      <c r="DQK15" s="64"/>
      <c r="DQL15" s="64"/>
      <c r="DQM15" s="64"/>
      <c r="DQN15" s="64"/>
      <c r="DQO15" s="64"/>
      <c r="DQP15" s="64"/>
      <c r="DQQ15" s="64"/>
      <c r="DQR15" s="64"/>
      <c r="DQS15" s="64"/>
      <c r="DQT15" s="64"/>
      <c r="DQU15" s="64"/>
      <c r="DQV15" s="64"/>
      <c r="DQW15" s="64"/>
      <c r="DQX15" s="64"/>
      <c r="DQY15" s="64"/>
      <c r="DQZ15" s="64"/>
      <c r="DRA15" s="64"/>
      <c r="DRB15" s="64"/>
      <c r="DRC15" s="64"/>
      <c r="DRD15" s="64"/>
      <c r="DRE15" s="64"/>
      <c r="DRF15" s="64"/>
      <c r="DRG15" s="64"/>
      <c r="DRH15" s="64"/>
      <c r="DRI15" s="64"/>
      <c r="DRJ15" s="64"/>
      <c r="DRK15" s="64"/>
      <c r="DRL15" s="64"/>
      <c r="DRM15" s="64"/>
      <c r="DRN15" s="64"/>
      <c r="DRO15" s="64"/>
      <c r="DRP15" s="64"/>
      <c r="DRQ15" s="64"/>
      <c r="DRR15" s="64"/>
      <c r="DRS15" s="64"/>
      <c r="DRT15" s="64"/>
      <c r="DRU15" s="64"/>
      <c r="DRV15" s="64"/>
      <c r="DRW15" s="64"/>
      <c r="DRX15" s="64"/>
      <c r="DRY15" s="64"/>
      <c r="DRZ15" s="64"/>
      <c r="DSA15" s="64"/>
      <c r="DSB15" s="64"/>
      <c r="DSC15" s="64"/>
      <c r="DSD15" s="64"/>
      <c r="DSE15" s="64"/>
      <c r="DSF15" s="64"/>
      <c r="DSG15" s="64"/>
      <c r="DSH15" s="64"/>
      <c r="DSI15" s="64"/>
      <c r="DSJ15" s="64"/>
      <c r="DSK15" s="64"/>
      <c r="DSL15" s="64"/>
      <c r="DSM15" s="64"/>
      <c r="DSN15" s="64"/>
      <c r="DSO15" s="64"/>
      <c r="DSP15" s="64"/>
      <c r="DSQ15" s="64"/>
      <c r="DSR15" s="64"/>
      <c r="DSS15" s="64"/>
      <c r="DST15" s="64"/>
      <c r="DSU15" s="64"/>
      <c r="DSV15" s="64"/>
      <c r="DSW15" s="64"/>
      <c r="DSX15" s="64"/>
      <c r="DSY15" s="64"/>
      <c r="DSZ15" s="64"/>
      <c r="DTA15" s="64"/>
      <c r="DTB15" s="64"/>
      <c r="DTC15" s="64"/>
      <c r="DTD15" s="64"/>
      <c r="DTE15" s="64"/>
      <c r="DTF15" s="64"/>
      <c r="DTG15" s="64"/>
      <c r="DTH15" s="64"/>
      <c r="DTI15" s="64"/>
      <c r="DTJ15" s="64"/>
      <c r="DTK15" s="64"/>
      <c r="DTL15" s="64"/>
      <c r="DTM15" s="64"/>
      <c r="DTN15" s="64"/>
      <c r="DTO15" s="64"/>
      <c r="DTP15" s="64"/>
      <c r="DTQ15" s="64"/>
      <c r="DTR15" s="64"/>
      <c r="DTS15" s="64"/>
      <c r="DTT15" s="64"/>
      <c r="DTU15" s="64"/>
      <c r="DTV15" s="64"/>
      <c r="DTW15" s="64"/>
      <c r="DTX15" s="64"/>
      <c r="DTY15" s="64"/>
      <c r="DTZ15" s="64"/>
      <c r="DUA15" s="64"/>
      <c r="DUB15" s="64"/>
      <c r="DUC15" s="64"/>
      <c r="DUD15" s="64"/>
      <c r="DUE15" s="64"/>
      <c r="DUF15" s="64"/>
      <c r="DUM15" s="64"/>
      <c r="DUN15" s="64"/>
      <c r="DUO15" s="64"/>
      <c r="DUP15" s="64"/>
      <c r="DUQ15" s="64"/>
      <c r="DUR15" s="64"/>
      <c r="DUS15" s="64"/>
      <c r="DUT15" s="64"/>
      <c r="DUU15" s="64"/>
      <c r="DUV15" s="64"/>
      <c r="DUW15" s="64"/>
      <c r="DUX15" s="64"/>
      <c r="DUY15" s="64"/>
      <c r="DUZ15" s="64"/>
      <c r="DVA15" s="64"/>
      <c r="DVB15" s="64"/>
      <c r="DVC15" s="64"/>
      <c r="DVD15" s="64"/>
      <c r="DVE15" s="64"/>
      <c r="DVF15" s="64"/>
      <c r="DVG15" s="64"/>
      <c r="DVH15" s="64"/>
      <c r="DVI15" s="64"/>
      <c r="DVJ15" s="64"/>
      <c r="DVK15" s="64"/>
      <c r="DVL15" s="64"/>
      <c r="DVM15" s="64"/>
      <c r="DVN15" s="64"/>
      <c r="DVO15" s="64"/>
      <c r="DVP15" s="64"/>
      <c r="DVQ15" s="64"/>
      <c r="DVR15" s="64"/>
      <c r="DVS15" s="64"/>
      <c r="DVT15" s="64"/>
      <c r="DVU15" s="64"/>
      <c r="DVV15" s="64"/>
      <c r="DVW15" s="64"/>
      <c r="DVX15" s="64"/>
      <c r="DVY15" s="64"/>
      <c r="DVZ15" s="64"/>
      <c r="DWA15" s="64"/>
      <c r="DWB15" s="64"/>
      <c r="DWC15" s="64"/>
      <c r="DWD15" s="64"/>
      <c r="DWE15" s="64"/>
      <c r="DWF15" s="64"/>
      <c r="DWG15" s="64"/>
      <c r="DWH15" s="64"/>
      <c r="DWI15" s="64"/>
      <c r="DWJ15" s="64"/>
      <c r="DWK15" s="64"/>
      <c r="DWL15" s="64"/>
      <c r="DWM15" s="64"/>
      <c r="DWN15" s="64"/>
      <c r="DWO15" s="64"/>
      <c r="DWP15" s="64"/>
      <c r="DWQ15" s="64"/>
      <c r="DWR15" s="64"/>
      <c r="DWS15" s="64"/>
      <c r="DWT15" s="64"/>
      <c r="DWU15" s="64"/>
      <c r="DWV15" s="64"/>
      <c r="DWW15" s="64"/>
      <c r="DWX15" s="64"/>
      <c r="DWY15" s="64"/>
      <c r="DWZ15" s="64"/>
      <c r="DXA15" s="64"/>
      <c r="DXB15" s="64"/>
      <c r="DXC15" s="64"/>
      <c r="DXD15" s="64"/>
      <c r="DXE15" s="64"/>
      <c r="DXF15" s="64"/>
      <c r="DXG15" s="64"/>
      <c r="DXH15" s="64"/>
      <c r="DXI15" s="64"/>
      <c r="DXJ15" s="64"/>
      <c r="DXK15" s="64"/>
      <c r="DXL15" s="64"/>
      <c r="DXM15" s="64"/>
      <c r="DXN15" s="64"/>
      <c r="DXO15" s="64"/>
      <c r="DXP15" s="64"/>
      <c r="DXQ15" s="64"/>
      <c r="DXR15" s="64"/>
      <c r="DXS15" s="64"/>
      <c r="DXT15" s="64"/>
      <c r="DXU15" s="64"/>
      <c r="DXV15" s="64"/>
      <c r="DXW15" s="64"/>
      <c r="DXX15" s="64"/>
      <c r="DXY15" s="64"/>
      <c r="DXZ15" s="64"/>
      <c r="DYA15" s="64"/>
      <c r="DYB15" s="64"/>
      <c r="DYC15" s="64"/>
      <c r="DYD15" s="64"/>
      <c r="DYE15" s="64"/>
      <c r="DYF15" s="64"/>
      <c r="DYG15" s="64"/>
      <c r="DYH15" s="64"/>
      <c r="DYI15" s="64"/>
      <c r="DYJ15" s="64"/>
      <c r="DYK15" s="64"/>
      <c r="DYL15" s="64"/>
      <c r="DYM15" s="64"/>
      <c r="DYN15" s="64"/>
      <c r="DYO15" s="64"/>
      <c r="DYP15" s="64"/>
      <c r="DYQ15" s="64"/>
      <c r="DYR15" s="64"/>
      <c r="DYS15" s="64"/>
      <c r="DYT15" s="64"/>
      <c r="DYU15" s="64"/>
      <c r="DYV15" s="64"/>
      <c r="DYW15" s="64"/>
      <c r="DYX15" s="64"/>
      <c r="DYY15" s="64"/>
      <c r="DYZ15" s="64"/>
      <c r="DZA15" s="64"/>
      <c r="DZB15" s="64"/>
      <c r="DZC15" s="64"/>
      <c r="DZD15" s="64"/>
      <c r="DZE15" s="64"/>
      <c r="DZF15" s="64"/>
      <c r="DZG15" s="64"/>
      <c r="DZH15" s="64"/>
      <c r="DZI15" s="64"/>
      <c r="DZJ15" s="64"/>
      <c r="DZK15" s="64"/>
      <c r="DZL15" s="64"/>
      <c r="DZM15" s="64"/>
      <c r="DZN15" s="64"/>
      <c r="DZO15" s="64"/>
      <c r="DZP15" s="64"/>
      <c r="DZQ15" s="64"/>
      <c r="DZR15" s="64"/>
      <c r="DZS15" s="64"/>
      <c r="DZT15" s="64"/>
      <c r="DZU15" s="64"/>
      <c r="DZV15" s="64"/>
      <c r="DZW15" s="64"/>
      <c r="DZX15" s="64"/>
      <c r="DZY15" s="64"/>
      <c r="DZZ15" s="64"/>
      <c r="EAA15" s="64"/>
      <c r="EAB15" s="64"/>
      <c r="EAC15" s="64"/>
      <c r="EAD15" s="64"/>
      <c r="EAE15" s="64"/>
      <c r="EAF15" s="64"/>
      <c r="EAG15" s="64"/>
      <c r="EAH15" s="64"/>
      <c r="EAI15" s="64"/>
      <c r="EAJ15" s="64"/>
      <c r="EAK15" s="64"/>
      <c r="EAL15" s="64"/>
      <c r="EAM15" s="64"/>
      <c r="EAN15" s="64"/>
      <c r="EAO15" s="64"/>
      <c r="EAP15" s="64"/>
      <c r="EAQ15" s="64"/>
      <c r="EAR15" s="64"/>
      <c r="EAS15" s="64"/>
      <c r="EAT15" s="64"/>
      <c r="EAU15" s="64"/>
      <c r="EAV15" s="64"/>
      <c r="EAW15" s="64"/>
      <c r="EAX15" s="64"/>
      <c r="EAY15" s="64"/>
      <c r="EAZ15" s="64"/>
      <c r="EBA15" s="64"/>
      <c r="EBB15" s="64"/>
      <c r="EBC15" s="64"/>
      <c r="EBD15" s="64"/>
      <c r="EBE15" s="64"/>
      <c r="EBF15" s="64"/>
      <c r="EBG15" s="64"/>
      <c r="EBH15" s="64"/>
      <c r="EBI15" s="64"/>
      <c r="EBJ15" s="64"/>
      <c r="EBK15" s="64"/>
      <c r="EBL15" s="64"/>
      <c r="EBM15" s="64"/>
      <c r="EBN15" s="64"/>
      <c r="EBO15" s="64"/>
      <c r="EBP15" s="64"/>
      <c r="EBQ15" s="64"/>
      <c r="EBR15" s="64"/>
      <c r="EBS15" s="64"/>
      <c r="EBT15" s="64"/>
      <c r="EBU15" s="64"/>
      <c r="EBV15" s="64"/>
      <c r="EBW15" s="64"/>
      <c r="EBX15" s="64"/>
      <c r="EBY15" s="64"/>
      <c r="EBZ15" s="64"/>
      <c r="ECA15" s="64"/>
      <c r="ECB15" s="64"/>
      <c r="ECC15" s="64"/>
      <c r="ECD15" s="64"/>
      <c r="ECE15" s="64"/>
      <c r="ECF15" s="64"/>
      <c r="ECG15" s="64"/>
      <c r="ECH15" s="64"/>
      <c r="ECI15" s="64"/>
      <c r="ECJ15" s="64"/>
      <c r="ECK15" s="64"/>
      <c r="ECL15" s="64"/>
      <c r="ECM15" s="64"/>
      <c r="ECN15" s="64"/>
      <c r="ECO15" s="64"/>
      <c r="ECP15" s="64"/>
      <c r="ECQ15" s="64"/>
      <c r="ECR15" s="64"/>
      <c r="ECS15" s="64"/>
      <c r="ECT15" s="64"/>
      <c r="ECU15" s="64"/>
      <c r="ECV15" s="64"/>
      <c r="ECW15" s="64"/>
      <c r="ECX15" s="64"/>
      <c r="ECY15" s="64"/>
      <c r="ECZ15" s="64"/>
      <c r="EDA15" s="64"/>
      <c r="EDB15" s="64"/>
      <c r="EDC15" s="64"/>
      <c r="EDD15" s="64"/>
      <c r="EDE15" s="64"/>
      <c r="EDF15" s="64"/>
      <c r="EDG15" s="64"/>
      <c r="EDH15" s="64"/>
      <c r="EDI15" s="64"/>
      <c r="EDJ15" s="64"/>
      <c r="EDK15" s="64"/>
      <c r="EDL15" s="64"/>
      <c r="EDM15" s="64"/>
      <c r="EDN15" s="64"/>
      <c r="EDO15" s="64"/>
      <c r="EDP15" s="64"/>
      <c r="EDQ15" s="64"/>
      <c r="EDR15" s="64"/>
      <c r="EDS15" s="64"/>
      <c r="EDT15" s="64"/>
      <c r="EDU15" s="64"/>
      <c r="EDV15" s="64"/>
      <c r="EDW15" s="64"/>
      <c r="EDX15" s="64"/>
      <c r="EDY15" s="64"/>
      <c r="EDZ15" s="64"/>
      <c r="EEA15" s="64"/>
      <c r="EEB15" s="64"/>
      <c r="EEI15" s="64"/>
      <c r="EEJ15" s="64"/>
      <c r="EEK15" s="64"/>
      <c r="EEL15" s="64"/>
      <c r="EEM15" s="64"/>
      <c r="EEN15" s="64"/>
      <c r="EEO15" s="64"/>
      <c r="EEP15" s="64"/>
      <c r="EEQ15" s="64"/>
      <c r="EER15" s="64"/>
      <c r="EES15" s="64"/>
      <c r="EET15" s="64"/>
      <c r="EEU15" s="64"/>
      <c r="EEV15" s="64"/>
      <c r="EEW15" s="64"/>
      <c r="EEX15" s="64"/>
      <c r="EEY15" s="64"/>
      <c r="EEZ15" s="64"/>
      <c r="EFA15" s="64"/>
      <c r="EFB15" s="64"/>
      <c r="EFC15" s="64"/>
      <c r="EFD15" s="64"/>
      <c r="EFE15" s="64"/>
      <c r="EFF15" s="64"/>
      <c r="EFG15" s="64"/>
      <c r="EFH15" s="64"/>
      <c r="EFI15" s="64"/>
      <c r="EFJ15" s="64"/>
      <c r="EFK15" s="64"/>
      <c r="EFL15" s="64"/>
      <c r="EFM15" s="64"/>
      <c r="EFN15" s="64"/>
      <c r="EFO15" s="64"/>
      <c r="EFP15" s="64"/>
      <c r="EFQ15" s="64"/>
      <c r="EFR15" s="64"/>
      <c r="EFS15" s="64"/>
      <c r="EFT15" s="64"/>
      <c r="EFU15" s="64"/>
      <c r="EFV15" s="64"/>
      <c r="EFW15" s="64"/>
      <c r="EFX15" s="64"/>
      <c r="EFY15" s="64"/>
      <c r="EFZ15" s="64"/>
      <c r="EGA15" s="64"/>
      <c r="EGB15" s="64"/>
      <c r="EGC15" s="64"/>
      <c r="EGD15" s="64"/>
      <c r="EGE15" s="64"/>
      <c r="EGF15" s="64"/>
      <c r="EGG15" s="64"/>
      <c r="EGH15" s="64"/>
      <c r="EGI15" s="64"/>
      <c r="EGJ15" s="64"/>
      <c r="EGK15" s="64"/>
      <c r="EGL15" s="64"/>
      <c r="EGM15" s="64"/>
      <c r="EGN15" s="64"/>
      <c r="EGO15" s="64"/>
      <c r="EGP15" s="64"/>
      <c r="EGQ15" s="64"/>
      <c r="EGR15" s="64"/>
      <c r="EGS15" s="64"/>
      <c r="EGT15" s="64"/>
      <c r="EGU15" s="64"/>
      <c r="EGV15" s="64"/>
      <c r="EGW15" s="64"/>
      <c r="EGX15" s="64"/>
      <c r="EGY15" s="64"/>
      <c r="EGZ15" s="64"/>
      <c r="EHA15" s="64"/>
      <c r="EHB15" s="64"/>
      <c r="EHC15" s="64"/>
      <c r="EHD15" s="64"/>
      <c r="EHE15" s="64"/>
      <c r="EHF15" s="64"/>
      <c r="EHG15" s="64"/>
      <c r="EHH15" s="64"/>
      <c r="EHI15" s="64"/>
      <c r="EHJ15" s="64"/>
      <c r="EHK15" s="64"/>
      <c r="EHL15" s="64"/>
      <c r="EHM15" s="64"/>
      <c r="EHN15" s="64"/>
      <c r="EHO15" s="64"/>
      <c r="EHP15" s="64"/>
      <c r="EHQ15" s="64"/>
      <c r="EHR15" s="64"/>
      <c r="EHS15" s="64"/>
      <c r="EHT15" s="64"/>
      <c r="EHU15" s="64"/>
      <c r="EHV15" s="64"/>
      <c r="EHW15" s="64"/>
      <c r="EHX15" s="64"/>
      <c r="EHY15" s="64"/>
      <c r="EHZ15" s="64"/>
      <c r="EIA15" s="64"/>
      <c r="EIB15" s="64"/>
      <c r="EIC15" s="64"/>
      <c r="EID15" s="64"/>
      <c r="EIE15" s="64"/>
      <c r="EIF15" s="64"/>
      <c r="EIG15" s="64"/>
      <c r="EIH15" s="64"/>
      <c r="EII15" s="64"/>
      <c r="EIJ15" s="64"/>
      <c r="EIK15" s="64"/>
      <c r="EIL15" s="64"/>
      <c r="EIM15" s="64"/>
      <c r="EIN15" s="64"/>
      <c r="EIO15" s="64"/>
      <c r="EIP15" s="64"/>
      <c r="EIQ15" s="64"/>
      <c r="EIR15" s="64"/>
      <c r="EIS15" s="64"/>
      <c r="EIT15" s="64"/>
      <c r="EIU15" s="64"/>
      <c r="EIV15" s="64"/>
      <c r="EIW15" s="64"/>
      <c r="EIX15" s="64"/>
      <c r="EIY15" s="64"/>
      <c r="EIZ15" s="64"/>
      <c r="EJA15" s="64"/>
      <c r="EJB15" s="64"/>
      <c r="EJC15" s="64"/>
      <c r="EJD15" s="64"/>
      <c r="EJE15" s="64"/>
      <c r="EJF15" s="64"/>
      <c r="EJG15" s="64"/>
      <c r="EJH15" s="64"/>
      <c r="EJI15" s="64"/>
      <c r="EJJ15" s="64"/>
      <c r="EJK15" s="64"/>
      <c r="EJL15" s="64"/>
      <c r="EJM15" s="64"/>
      <c r="EJN15" s="64"/>
      <c r="EJO15" s="64"/>
      <c r="EJP15" s="64"/>
      <c r="EJQ15" s="64"/>
      <c r="EJR15" s="64"/>
      <c r="EJS15" s="64"/>
      <c r="EJT15" s="64"/>
      <c r="EJU15" s="64"/>
      <c r="EJV15" s="64"/>
      <c r="EJW15" s="64"/>
      <c r="EJX15" s="64"/>
      <c r="EJY15" s="64"/>
      <c r="EJZ15" s="64"/>
      <c r="EKA15" s="64"/>
      <c r="EKB15" s="64"/>
      <c r="EKC15" s="64"/>
      <c r="EKD15" s="64"/>
      <c r="EKE15" s="64"/>
      <c r="EKF15" s="64"/>
      <c r="EKG15" s="64"/>
      <c r="EKH15" s="64"/>
      <c r="EKI15" s="64"/>
      <c r="EKJ15" s="64"/>
      <c r="EKK15" s="64"/>
      <c r="EKL15" s="64"/>
      <c r="EKM15" s="64"/>
      <c r="EKN15" s="64"/>
      <c r="EKO15" s="64"/>
      <c r="EKP15" s="64"/>
      <c r="EKQ15" s="64"/>
      <c r="EKR15" s="64"/>
      <c r="EKS15" s="64"/>
      <c r="EKT15" s="64"/>
      <c r="EKU15" s="64"/>
      <c r="EKV15" s="64"/>
      <c r="EKW15" s="64"/>
      <c r="EKX15" s="64"/>
      <c r="EKY15" s="64"/>
      <c r="EKZ15" s="64"/>
      <c r="ELA15" s="64"/>
      <c r="ELB15" s="64"/>
      <c r="ELC15" s="64"/>
      <c r="ELD15" s="64"/>
      <c r="ELE15" s="64"/>
      <c r="ELF15" s="64"/>
      <c r="ELG15" s="64"/>
      <c r="ELH15" s="64"/>
      <c r="ELI15" s="64"/>
      <c r="ELJ15" s="64"/>
      <c r="ELK15" s="64"/>
      <c r="ELL15" s="64"/>
      <c r="ELM15" s="64"/>
      <c r="ELN15" s="64"/>
      <c r="ELO15" s="64"/>
      <c r="ELP15" s="64"/>
      <c r="ELQ15" s="64"/>
      <c r="ELR15" s="64"/>
      <c r="ELS15" s="64"/>
      <c r="ELT15" s="64"/>
      <c r="ELU15" s="64"/>
      <c r="ELV15" s="64"/>
      <c r="ELW15" s="64"/>
      <c r="ELX15" s="64"/>
      <c r="ELY15" s="64"/>
      <c r="ELZ15" s="64"/>
      <c r="EMA15" s="64"/>
      <c r="EMB15" s="64"/>
      <c r="EMC15" s="64"/>
      <c r="EMD15" s="64"/>
      <c r="EME15" s="64"/>
      <c r="EMF15" s="64"/>
      <c r="EMG15" s="64"/>
      <c r="EMH15" s="64"/>
      <c r="EMI15" s="64"/>
      <c r="EMJ15" s="64"/>
      <c r="EMK15" s="64"/>
      <c r="EML15" s="64"/>
      <c r="EMM15" s="64"/>
      <c r="EMN15" s="64"/>
      <c r="EMO15" s="64"/>
      <c r="EMP15" s="64"/>
      <c r="EMQ15" s="64"/>
      <c r="EMR15" s="64"/>
      <c r="EMS15" s="64"/>
      <c r="EMT15" s="64"/>
      <c r="EMU15" s="64"/>
      <c r="EMV15" s="64"/>
      <c r="EMW15" s="64"/>
      <c r="EMX15" s="64"/>
      <c r="EMY15" s="64"/>
      <c r="EMZ15" s="64"/>
      <c r="ENA15" s="64"/>
      <c r="ENB15" s="64"/>
      <c r="ENC15" s="64"/>
      <c r="END15" s="64"/>
      <c r="ENE15" s="64"/>
      <c r="ENF15" s="64"/>
      <c r="ENG15" s="64"/>
      <c r="ENH15" s="64"/>
      <c r="ENI15" s="64"/>
      <c r="ENJ15" s="64"/>
      <c r="ENK15" s="64"/>
      <c r="ENL15" s="64"/>
      <c r="ENM15" s="64"/>
      <c r="ENN15" s="64"/>
      <c r="ENO15" s="64"/>
      <c r="ENP15" s="64"/>
      <c r="ENQ15" s="64"/>
      <c r="ENR15" s="64"/>
      <c r="ENS15" s="64"/>
      <c r="ENT15" s="64"/>
      <c r="ENU15" s="64"/>
      <c r="ENV15" s="64"/>
      <c r="ENW15" s="64"/>
      <c r="ENX15" s="64"/>
      <c r="EOE15" s="64"/>
      <c r="EOF15" s="64"/>
      <c r="EOG15" s="64"/>
      <c r="EOH15" s="64"/>
      <c r="EOI15" s="64"/>
      <c r="EOJ15" s="64"/>
      <c r="EOK15" s="64"/>
      <c r="EOL15" s="64"/>
      <c r="EOM15" s="64"/>
      <c r="EON15" s="64"/>
      <c r="EOO15" s="64"/>
      <c r="EOP15" s="64"/>
      <c r="EOQ15" s="64"/>
      <c r="EOR15" s="64"/>
      <c r="EOS15" s="64"/>
      <c r="EOT15" s="64"/>
      <c r="EOU15" s="64"/>
      <c r="EOV15" s="64"/>
      <c r="EOW15" s="64"/>
      <c r="EOX15" s="64"/>
      <c r="EOY15" s="64"/>
      <c r="EOZ15" s="64"/>
      <c r="EPA15" s="64"/>
      <c r="EPB15" s="64"/>
      <c r="EPC15" s="64"/>
      <c r="EPD15" s="64"/>
      <c r="EPE15" s="64"/>
      <c r="EPF15" s="64"/>
      <c r="EPG15" s="64"/>
      <c r="EPH15" s="64"/>
      <c r="EPI15" s="64"/>
      <c r="EPJ15" s="64"/>
      <c r="EPK15" s="64"/>
      <c r="EPL15" s="64"/>
      <c r="EPM15" s="64"/>
      <c r="EPN15" s="64"/>
      <c r="EPO15" s="64"/>
      <c r="EPP15" s="64"/>
      <c r="EPQ15" s="64"/>
      <c r="EPR15" s="64"/>
      <c r="EPS15" s="64"/>
      <c r="EPT15" s="64"/>
      <c r="EPU15" s="64"/>
      <c r="EPV15" s="64"/>
      <c r="EPW15" s="64"/>
      <c r="EPX15" s="64"/>
      <c r="EPY15" s="64"/>
      <c r="EPZ15" s="64"/>
      <c r="EQA15" s="64"/>
      <c r="EQB15" s="64"/>
      <c r="EQC15" s="64"/>
      <c r="EQD15" s="64"/>
      <c r="EQE15" s="64"/>
      <c r="EQF15" s="64"/>
      <c r="EQG15" s="64"/>
      <c r="EQH15" s="64"/>
      <c r="EQI15" s="64"/>
      <c r="EQJ15" s="64"/>
      <c r="EQK15" s="64"/>
      <c r="EQL15" s="64"/>
      <c r="EQM15" s="64"/>
      <c r="EQN15" s="64"/>
      <c r="EQO15" s="64"/>
      <c r="EQP15" s="64"/>
      <c r="EQQ15" s="64"/>
      <c r="EQR15" s="64"/>
      <c r="EQS15" s="64"/>
      <c r="EQT15" s="64"/>
      <c r="EQU15" s="64"/>
      <c r="EQV15" s="64"/>
      <c r="EQW15" s="64"/>
      <c r="EQX15" s="64"/>
      <c r="EQY15" s="64"/>
      <c r="EQZ15" s="64"/>
      <c r="ERA15" s="64"/>
      <c r="ERB15" s="64"/>
      <c r="ERC15" s="64"/>
      <c r="ERD15" s="64"/>
      <c r="ERE15" s="64"/>
      <c r="ERF15" s="64"/>
      <c r="ERG15" s="64"/>
      <c r="ERH15" s="64"/>
      <c r="ERI15" s="64"/>
      <c r="ERJ15" s="64"/>
      <c r="ERK15" s="64"/>
      <c r="ERL15" s="64"/>
      <c r="ERM15" s="64"/>
      <c r="ERN15" s="64"/>
      <c r="ERO15" s="64"/>
      <c r="ERP15" s="64"/>
      <c r="ERQ15" s="64"/>
      <c r="ERR15" s="64"/>
      <c r="ERS15" s="64"/>
      <c r="ERT15" s="64"/>
      <c r="ERU15" s="64"/>
      <c r="ERV15" s="64"/>
      <c r="ERW15" s="64"/>
      <c r="ERX15" s="64"/>
      <c r="ERY15" s="64"/>
      <c r="ERZ15" s="64"/>
      <c r="ESA15" s="64"/>
      <c r="ESB15" s="64"/>
      <c r="ESC15" s="64"/>
      <c r="ESD15" s="64"/>
      <c r="ESE15" s="64"/>
      <c r="ESF15" s="64"/>
      <c r="ESG15" s="64"/>
      <c r="ESH15" s="64"/>
      <c r="ESI15" s="64"/>
      <c r="ESJ15" s="64"/>
      <c r="ESK15" s="64"/>
      <c r="ESL15" s="64"/>
      <c r="ESM15" s="64"/>
      <c r="ESN15" s="64"/>
      <c r="ESO15" s="64"/>
      <c r="ESP15" s="64"/>
      <c r="ESQ15" s="64"/>
      <c r="ESR15" s="64"/>
      <c r="ESS15" s="64"/>
      <c r="EST15" s="64"/>
      <c r="ESU15" s="64"/>
      <c r="ESV15" s="64"/>
      <c r="ESW15" s="64"/>
      <c r="ESX15" s="64"/>
      <c r="ESY15" s="64"/>
      <c r="ESZ15" s="64"/>
      <c r="ETA15" s="64"/>
      <c r="ETB15" s="64"/>
      <c r="ETC15" s="64"/>
      <c r="ETD15" s="64"/>
      <c r="ETE15" s="64"/>
      <c r="ETF15" s="64"/>
      <c r="ETG15" s="64"/>
      <c r="ETH15" s="64"/>
      <c r="ETI15" s="64"/>
      <c r="ETJ15" s="64"/>
      <c r="ETK15" s="64"/>
      <c r="ETL15" s="64"/>
      <c r="ETM15" s="64"/>
      <c r="ETN15" s="64"/>
      <c r="ETO15" s="64"/>
      <c r="ETP15" s="64"/>
      <c r="ETQ15" s="64"/>
      <c r="ETR15" s="64"/>
      <c r="ETS15" s="64"/>
      <c r="ETT15" s="64"/>
      <c r="ETU15" s="64"/>
      <c r="ETV15" s="64"/>
      <c r="ETW15" s="64"/>
      <c r="ETX15" s="64"/>
      <c r="ETY15" s="64"/>
      <c r="ETZ15" s="64"/>
      <c r="EUA15" s="64"/>
      <c r="EUB15" s="64"/>
      <c r="EUC15" s="64"/>
      <c r="EUD15" s="64"/>
      <c r="EUE15" s="64"/>
      <c r="EUF15" s="64"/>
      <c r="EUG15" s="64"/>
      <c r="EUH15" s="64"/>
      <c r="EUI15" s="64"/>
      <c r="EUJ15" s="64"/>
      <c r="EUK15" s="64"/>
      <c r="EUL15" s="64"/>
      <c r="EUM15" s="64"/>
      <c r="EUN15" s="64"/>
      <c r="EUO15" s="64"/>
      <c r="EUP15" s="64"/>
      <c r="EUQ15" s="64"/>
      <c r="EUR15" s="64"/>
      <c r="EUS15" s="64"/>
      <c r="EUT15" s="64"/>
      <c r="EUU15" s="64"/>
      <c r="EUV15" s="64"/>
      <c r="EUW15" s="64"/>
      <c r="EUX15" s="64"/>
      <c r="EUY15" s="64"/>
      <c r="EUZ15" s="64"/>
      <c r="EVA15" s="64"/>
      <c r="EVB15" s="64"/>
      <c r="EVC15" s="64"/>
      <c r="EVD15" s="64"/>
      <c r="EVE15" s="64"/>
      <c r="EVF15" s="64"/>
      <c r="EVG15" s="64"/>
      <c r="EVH15" s="64"/>
      <c r="EVI15" s="64"/>
      <c r="EVJ15" s="64"/>
      <c r="EVK15" s="64"/>
      <c r="EVL15" s="64"/>
      <c r="EVM15" s="64"/>
      <c r="EVN15" s="64"/>
      <c r="EVO15" s="64"/>
      <c r="EVP15" s="64"/>
      <c r="EVQ15" s="64"/>
      <c r="EVR15" s="64"/>
      <c r="EVS15" s="64"/>
      <c r="EVT15" s="64"/>
      <c r="EVU15" s="64"/>
      <c r="EVV15" s="64"/>
      <c r="EVW15" s="64"/>
      <c r="EVX15" s="64"/>
      <c r="EVY15" s="64"/>
      <c r="EVZ15" s="64"/>
      <c r="EWA15" s="64"/>
      <c r="EWB15" s="64"/>
      <c r="EWC15" s="64"/>
      <c r="EWD15" s="64"/>
      <c r="EWE15" s="64"/>
      <c r="EWF15" s="64"/>
      <c r="EWG15" s="64"/>
      <c r="EWH15" s="64"/>
      <c r="EWI15" s="64"/>
      <c r="EWJ15" s="64"/>
      <c r="EWK15" s="64"/>
      <c r="EWL15" s="64"/>
      <c r="EWM15" s="64"/>
      <c r="EWN15" s="64"/>
      <c r="EWO15" s="64"/>
      <c r="EWP15" s="64"/>
      <c r="EWQ15" s="64"/>
      <c r="EWR15" s="64"/>
      <c r="EWS15" s="64"/>
      <c r="EWT15" s="64"/>
      <c r="EWU15" s="64"/>
      <c r="EWV15" s="64"/>
      <c r="EWW15" s="64"/>
      <c r="EWX15" s="64"/>
      <c r="EWY15" s="64"/>
      <c r="EWZ15" s="64"/>
      <c r="EXA15" s="64"/>
      <c r="EXB15" s="64"/>
      <c r="EXC15" s="64"/>
      <c r="EXD15" s="64"/>
      <c r="EXE15" s="64"/>
      <c r="EXF15" s="64"/>
      <c r="EXG15" s="64"/>
      <c r="EXH15" s="64"/>
      <c r="EXI15" s="64"/>
      <c r="EXJ15" s="64"/>
      <c r="EXK15" s="64"/>
      <c r="EXL15" s="64"/>
      <c r="EXM15" s="64"/>
      <c r="EXN15" s="64"/>
      <c r="EXO15" s="64"/>
      <c r="EXP15" s="64"/>
      <c r="EXQ15" s="64"/>
      <c r="EXR15" s="64"/>
      <c r="EXS15" s="64"/>
      <c r="EXT15" s="64"/>
      <c r="EYA15" s="64"/>
      <c r="EYB15" s="64"/>
      <c r="EYC15" s="64"/>
      <c r="EYD15" s="64"/>
      <c r="EYE15" s="64"/>
      <c r="EYF15" s="64"/>
      <c r="EYG15" s="64"/>
      <c r="EYH15" s="64"/>
      <c r="EYI15" s="64"/>
      <c r="EYJ15" s="64"/>
      <c r="EYK15" s="64"/>
      <c r="EYL15" s="64"/>
      <c r="EYM15" s="64"/>
      <c r="EYN15" s="64"/>
      <c r="EYO15" s="64"/>
      <c r="EYP15" s="64"/>
      <c r="EYQ15" s="64"/>
      <c r="EYR15" s="64"/>
      <c r="EYS15" s="64"/>
      <c r="EYT15" s="64"/>
      <c r="EYU15" s="64"/>
      <c r="EYV15" s="64"/>
      <c r="EYW15" s="64"/>
      <c r="EYX15" s="64"/>
      <c r="EYY15" s="64"/>
      <c r="EYZ15" s="64"/>
      <c r="EZA15" s="64"/>
      <c r="EZB15" s="64"/>
      <c r="EZC15" s="64"/>
      <c r="EZD15" s="64"/>
      <c r="EZE15" s="64"/>
      <c r="EZF15" s="64"/>
      <c r="EZG15" s="64"/>
      <c r="EZH15" s="64"/>
      <c r="EZI15" s="64"/>
      <c r="EZJ15" s="64"/>
      <c r="EZK15" s="64"/>
      <c r="EZL15" s="64"/>
      <c r="EZM15" s="64"/>
      <c r="EZN15" s="64"/>
      <c r="EZO15" s="64"/>
      <c r="EZP15" s="64"/>
      <c r="EZQ15" s="64"/>
      <c r="EZR15" s="64"/>
      <c r="EZS15" s="64"/>
      <c r="EZT15" s="64"/>
      <c r="EZU15" s="64"/>
      <c r="EZV15" s="64"/>
      <c r="EZW15" s="64"/>
      <c r="EZX15" s="64"/>
      <c r="EZY15" s="64"/>
      <c r="EZZ15" s="64"/>
      <c r="FAA15" s="64"/>
      <c r="FAB15" s="64"/>
      <c r="FAC15" s="64"/>
      <c r="FAD15" s="64"/>
      <c r="FAE15" s="64"/>
      <c r="FAF15" s="64"/>
      <c r="FAG15" s="64"/>
      <c r="FAH15" s="64"/>
      <c r="FAI15" s="64"/>
      <c r="FAJ15" s="64"/>
      <c r="FAK15" s="64"/>
      <c r="FAL15" s="64"/>
      <c r="FAM15" s="64"/>
      <c r="FAN15" s="64"/>
      <c r="FAO15" s="64"/>
      <c r="FAP15" s="64"/>
      <c r="FAQ15" s="64"/>
      <c r="FAR15" s="64"/>
      <c r="FAS15" s="64"/>
      <c r="FAT15" s="64"/>
      <c r="FAU15" s="64"/>
      <c r="FAV15" s="64"/>
      <c r="FAW15" s="64"/>
      <c r="FAX15" s="64"/>
      <c r="FAY15" s="64"/>
      <c r="FAZ15" s="64"/>
      <c r="FBA15" s="64"/>
      <c r="FBB15" s="64"/>
      <c r="FBC15" s="64"/>
      <c r="FBD15" s="64"/>
      <c r="FBE15" s="64"/>
      <c r="FBF15" s="64"/>
      <c r="FBG15" s="64"/>
      <c r="FBH15" s="64"/>
      <c r="FBI15" s="64"/>
      <c r="FBJ15" s="64"/>
      <c r="FBK15" s="64"/>
      <c r="FBL15" s="64"/>
      <c r="FBM15" s="64"/>
      <c r="FBN15" s="64"/>
      <c r="FBO15" s="64"/>
      <c r="FBP15" s="64"/>
      <c r="FBQ15" s="64"/>
      <c r="FBR15" s="64"/>
      <c r="FBS15" s="64"/>
      <c r="FBT15" s="64"/>
      <c r="FBU15" s="64"/>
      <c r="FBV15" s="64"/>
      <c r="FBW15" s="64"/>
      <c r="FBX15" s="64"/>
      <c r="FBY15" s="64"/>
      <c r="FBZ15" s="64"/>
      <c r="FCA15" s="64"/>
      <c r="FCB15" s="64"/>
      <c r="FCC15" s="64"/>
      <c r="FCD15" s="64"/>
      <c r="FCE15" s="64"/>
      <c r="FCF15" s="64"/>
      <c r="FCG15" s="64"/>
      <c r="FCH15" s="64"/>
      <c r="FCI15" s="64"/>
      <c r="FCJ15" s="64"/>
      <c r="FCK15" s="64"/>
      <c r="FCL15" s="64"/>
      <c r="FCM15" s="64"/>
      <c r="FCN15" s="64"/>
      <c r="FCO15" s="64"/>
      <c r="FCP15" s="64"/>
      <c r="FCQ15" s="64"/>
      <c r="FCR15" s="64"/>
      <c r="FCS15" s="64"/>
      <c r="FCT15" s="64"/>
      <c r="FCU15" s="64"/>
      <c r="FCV15" s="64"/>
      <c r="FCW15" s="64"/>
      <c r="FCX15" s="64"/>
      <c r="FCY15" s="64"/>
      <c r="FCZ15" s="64"/>
      <c r="FDA15" s="64"/>
      <c r="FDB15" s="64"/>
      <c r="FDC15" s="64"/>
      <c r="FDD15" s="64"/>
      <c r="FDE15" s="64"/>
      <c r="FDF15" s="64"/>
      <c r="FDG15" s="64"/>
      <c r="FDH15" s="64"/>
      <c r="FDI15" s="64"/>
      <c r="FDJ15" s="64"/>
      <c r="FDK15" s="64"/>
      <c r="FDL15" s="64"/>
      <c r="FDM15" s="64"/>
      <c r="FDN15" s="64"/>
      <c r="FDO15" s="64"/>
      <c r="FDP15" s="64"/>
      <c r="FDQ15" s="64"/>
      <c r="FDR15" s="64"/>
      <c r="FDS15" s="64"/>
      <c r="FDT15" s="64"/>
      <c r="FDU15" s="64"/>
      <c r="FDV15" s="64"/>
      <c r="FDW15" s="64"/>
      <c r="FDX15" s="64"/>
      <c r="FDY15" s="64"/>
      <c r="FDZ15" s="64"/>
      <c r="FEA15" s="64"/>
      <c r="FEB15" s="64"/>
      <c r="FEC15" s="64"/>
      <c r="FED15" s="64"/>
      <c r="FEE15" s="64"/>
      <c r="FEF15" s="64"/>
      <c r="FEG15" s="64"/>
      <c r="FEH15" s="64"/>
      <c r="FEI15" s="64"/>
      <c r="FEJ15" s="64"/>
      <c r="FEK15" s="64"/>
      <c r="FEL15" s="64"/>
      <c r="FEM15" s="64"/>
      <c r="FEN15" s="64"/>
      <c r="FEO15" s="64"/>
      <c r="FEP15" s="64"/>
      <c r="FEQ15" s="64"/>
      <c r="FER15" s="64"/>
      <c r="FES15" s="64"/>
      <c r="FET15" s="64"/>
      <c r="FEU15" s="64"/>
      <c r="FEV15" s="64"/>
      <c r="FEW15" s="64"/>
      <c r="FEX15" s="64"/>
      <c r="FEY15" s="64"/>
      <c r="FEZ15" s="64"/>
      <c r="FFA15" s="64"/>
      <c r="FFB15" s="64"/>
      <c r="FFC15" s="64"/>
      <c r="FFD15" s="64"/>
      <c r="FFE15" s="64"/>
      <c r="FFF15" s="64"/>
      <c r="FFG15" s="64"/>
      <c r="FFH15" s="64"/>
      <c r="FFI15" s="64"/>
      <c r="FFJ15" s="64"/>
      <c r="FFK15" s="64"/>
      <c r="FFL15" s="64"/>
      <c r="FFM15" s="64"/>
      <c r="FFN15" s="64"/>
      <c r="FFO15" s="64"/>
      <c r="FFP15" s="64"/>
      <c r="FFQ15" s="64"/>
      <c r="FFR15" s="64"/>
      <c r="FFS15" s="64"/>
      <c r="FFT15" s="64"/>
      <c r="FFU15" s="64"/>
      <c r="FFV15" s="64"/>
      <c r="FFW15" s="64"/>
      <c r="FFX15" s="64"/>
      <c r="FFY15" s="64"/>
      <c r="FFZ15" s="64"/>
      <c r="FGA15" s="64"/>
      <c r="FGB15" s="64"/>
      <c r="FGC15" s="64"/>
      <c r="FGD15" s="64"/>
      <c r="FGE15" s="64"/>
      <c r="FGF15" s="64"/>
      <c r="FGG15" s="64"/>
      <c r="FGH15" s="64"/>
      <c r="FGI15" s="64"/>
      <c r="FGJ15" s="64"/>
      <c r="FGK15" s="64"/>
      <c r="FGL15" s="64"/>
      <c r="FGM15" s="64"/>
      <c r="FGN15" s="64"/>
      <c r="FGO15" s="64"/>
      <c r="FGP15" s="64"/>
      <c r="FGQ15" s="64"/>
      <c r="FGR15" s="64"/>
      <c r="FGS15" s="64"/>
      <c r="FGT15" s="64"/>
      <c r="FGU15" s="64"/>
      <c r="FGV15" s="64"/>
      <c r="FGW15" s="64"/>
      <c r="FGX15" s="64"/>
      <c r="FGY15" s="64"/>
      <c r="FGZ15" s="64"/>
      <c r="FHA15" s="64"/>
      <c r="FHB15" s="64"/>
      <c r="FHC15" s="64"/>
      <c r="FHD15" s="64"/>
      <c r="FHE15" s="64"/>
      <c r="FHF15" s="64"/>
      <c r="FHG15" s="64"/>
      <c r="FHH15" s="64"/>
      <c r="FHI15" s="64"/>
      <c r="FHJ15" s="64"/>
      <c r="FHK15" s="64"/>
      <c r="FHL15" s="64"/>
      <c r="FHM15" s="64"/>
      <c r="FHN15" s="64"/>
      <c r="FHO15" s="64"/>
      <c r="FHP15" s="64"/>
      <c r="FHW15" s="64"/>
      <c r="FHX15" s="64"/>
      <c r="FHY15" s="64"/>
      <c r="FHZ15" s="64"/>
      <c r="FIA15" s="64"/>
      <c r="FIB15" s="64"/>
      <c r="FIC15" s="64"/>
      <c r="FID15" s="64"/>
      <c r="FIE15" s="64"/>
      <c r="FIF15" s="64"/>
      <c r="FIG15" s="64"/>
      <c r="FIH15" s="64"/>
      <c r="FII15" s="64"/>
      <c r="FIJ15" s="64"/>
      <c r="FIK15" s="64"/>
      <c r="FIL15" s="64"/>
      <c r="FIM15" s="64"/>
      <c r="FIN15" s="64"/>
      <c r="FIO15" s="64"/>
      <c r="FIP15" s="64"/>
      <c r="FIQ15" s="64"/>
      <c r="FIR15" s="64"/>
      <c r="FIS15" s="64"/>
      <c r="FIT15" s="64"/>
      <c r="FIU15" s="64"/>
      <c r="FIV15" s="64"/>
      <c r="FIW15" s="64"/>
      <c r="FIX15" s="64"/>
      <c r="FIY15" s="64"/>
      <c r="FIZ15" s="64"/>
      <c r="FJA15" s="64"/>
      <c r="FJB15" s="64"/>
      <c r="FJC15" s="64"/>
      <c r="FJD15" s="64"/>
      <c r="FJE15" s="64"/>
      <c r="FJF15" s="64"/>
      <c r="FJG15" s="64"/>
      <c r="FJH15" s="64"/>
      <c r="FJI15" s="64"/>
      <c r="FJJ15" s="64"/>
      <c r="FJK15" s="64"/>
      <c r="FJL15" s="64"/>
      <c r="FJM15" s="64"/>
      <c r="FJN15" s="64"/>
      <c r="FJO15" s="64"/>
      <c r="FJP15" s="64"/>
      <c r="FJQ15" s="64"/>
      <c r="FJR15" s="64"/>
      <c r="FJS15" s="64"/>
      <c r="FJT15" s="64"/>
      <c r="FJU15" s="64"/>
      <c r="FJV15" s="64"/>
      <c r="FJW15" s="64"/>
      <c r="FJX15" s="64"/>
      <c r="FJY15" s="64"/>
      <c r="FJZ15" s="64"/>
      <c r="FKA15" s="64"/>
      <c r="FKB15" s="64"/>
      <c r="FKC15" s="64"/>
      <c r="FKD15" s="64"/>
      <c r="FKE15" s="64"/>
      <c r="FKF15" s="64"/>
      <c r="FKG15" s="64"/>
      <c r="FKH15" s="64"/>
      <c r="FKI15" s="64"/>
      <c r="FKJ15" s="64"/>
      <c r="FKK15" s="64"/>
      <c r="FKL15" s="64"/>
      <c r="FKM15" s="64"/>
      <c r="FKN15" s="64"/>
      <c r="FKO15" s="64"/>
      <c r="FKP15" s="64"/>
      <c r="FKQ15" s="64"/>
      <c r="FKR15" s="64"/>
      <c r="FKS15" s="64"/>
      <c r="FKT15" s="64"/>
      <c r="FKU15" s="64"/>
      <c r="FKV15" s="64"/>
      <c r="FKW15" s="64"/>
      <c r="FKX15" s="64"/>
      <c r="FKY15" s="64"/>
      <c r="FKZ15" s="64"/>
      <c r="FLA15" s="64"/>
      <c r="FLB15" s="64"/>
      <c r="FLC15" s="64"/>
      <c r="FLD15" s="64"/>
      <c r="FLE15" s="64"/>
      <c r="FLF15" s="64"/>
      <c r="FLG15" s="64"/>
      <c r="FLH15" s="64"/>
      <c r="FLI15" s="64"/>
      <c r="FLJ15" s="64"/>
      <c r="FLK15" s="64"/>
      <c r="FLL15" s="64"/>
      <c r="FLM15" s="64"/>
      <c r="FLN15" s="64"/>
      <c r="FLO15" s="64"/>
      <c r="FLP15" s="64"/>
      <c r="FLQ15" s="64"/>
      <c r="FLR15" s="64"/>
      <c r="FLS15" s="64"/>
      <c r="FLT15" s="64"/>
      <c r="FLU15" s="64"/>
      <c r="FLV15" s="64"/>
      <c r="FLW15" s="64"/>
      <c r="FLX15" s="64"/>
      <c r="FLY15" s="64"/>
      <c r="FLZ15" s="64"/>
      <c r="FMA15" s="64"/>
      <c r="FMB15" s="64"/>
      <c r="FMC15" s="64"/>
      <c r="FMD15" s="64"/>
      <c r="FME15" s="64"/>
      <c r="FMF15" s="64"/>
      <c r="FMG15" s="64"/>
      <c r="FMH15" s="64"/>
      <c r="FMI15" s="64"/>
      <c r="FMJ15" s="64"/>
      <c r="FMK15" s="64"/>
      <c r="FML15" s="64"/>
      <c r="FMM15" s="64"/>
      <c r="FMN15" s="64"/>
      <c r="FMO15" s="64"/>
      <c r="FMP15" s="64"/>
      <c r="FMQ15" s="64"/>
      <c r="FMR15" s="64"/>
      <c r="FMS15" s="64"/>
      <c r="FMT15" s="64"/>
      <c r="FMU15" s="64"/>
      <c r="FMV15" s="64"/>
      <c r="FMW15" s="64"/>
      <c r="FMX15" s="64"/>
      <c r="FMY15" s="64"/>
      <c r="FMZ15" s="64"/>
      <c r="FNA15" s="64"/>
      <c r="FNB15" s="64"/>
      <c r="FNC15" s="64"/>
      <c r="FND15" s="64"/>
      <c r="FNE15" s="64"/>
      <c r="FNF15" s="64"/>
      <c r="FNG15" s="64"/>
      <c r="FNH15" s="64"/>
      <c r="FNI15" s="64"/>
      <c r="FNJ15" s="64"/>
      <c r="FNK15" s="64"/>
      <c r="FNL15" s="64"/>
      <c r="FNM15" s="64"/>
      <c r="FNN15" s="64"/>
      <c r="FNO15" s="64"/>
      <c r="FNP15" s="64"/>
      <c r="FNQ15" s="64"/>
      <c r="FNR15" s="64"/>
      <c r="FNS15" s="64"/>
      <c r="FNT15" s="64"/>
      <c r="FNU15" s="64"/>
      <c r="FNV15" s="64"/>
      <c r="FNW15" s="64"/>
      <c r="FNX15" s="64"/>
      <c r="FNY15" s="64"/>
      <c r="FNZ15" s="64"/>
      <c r="FOA15" s="64"/>
      <c r="FOB15" s="64"/>
      <c r="FOC15" s="64"/>
      <c r="FOD15" s="64"/>
      <c r="FOE15" s="64"/>
      <c r="FOF15" s="64"/>
      <c r="FOG15" s="64"/>
      <c r="FOH15" s="64"/>
      <c r="FOI15" s="64"/>
      <c r="FOJ15" s="64"/>
      <c r="FOK15" s="64"/>
      <c r="FOL15" s="64"/>
      <c r="FOM15" s="64"/>
      <c r="FON15" s="64"/>
      <c r="FOO15" s="64"/>
      <c r="FOP15" s="64"/>
      <c r="FOQ15" s="64"/>
      <c r="FOR15" s="64"/>
      <c r="FOS15" s="64"/>
      <c r="FOT15" s="64"/>
      <c r="FOU15" s="64"/>
      <c r="FOV15" s="64"/>
      <c r="FOW15" s="64"/>
      <c r="FOX15" s="64"/>
      <c r="FOY15" s="64"/>
      <c r="FOZ15" s="64"/>
      <c r="FPA15" s="64"/>
      <c r="FPB15" s="64"/>
      <c r="FPC15" s="64"/>
      <c r="FPD15" s="64"/>
      <c r="FPE15" s="64"/>
      <c r="FPF15" s="64"/>
      <c r="FPG15" s="64"/>
      <c r="FPH15" s="64"/>
      <c r="FPI15" s="64"/>
      <c r="FPJ15" s="64"/>
      <c r="FPK15" s="64"/>
      <c r="FPL15" s="64"/>
      <c r="FPM15" s="64"/>
      <c r="FPN15" s="64"/>
      <c r="FPO15" s="64"/>
      <c r="FPP15" s="64"/>
      <c r="FPQ15" s="64"/>
      <c r="FPR15" s="64"/>
      <c r="FPS15" s="64"/>
      <c r="FPT15" s="64"/>
      <c r="FPU15" s="64"/>
      <c r="FPV15" s="64"/>
      <c r="FPW15" s="64"/>
      <c r="FPX15" s="64"/>
      <c r="FPY15" s="64"/>
      <c r="FPZ15" s="64"/>
      <c r="FQA15" s="64"/>
      <c r="FQB15" s="64"/>
      <c r="FQC15" s="64"/>
      <c r="FQD15" s="64"/>
      <c r="FQE15" s="64"/>
      <c r="FQF15" s="64"/>
      <c r="FQG15" s="64"/>
      <c r="FQH15" s="64"/>
      <c r="FQI15" s="64"/>
      <c r="FQJ15" s="64"/>
      <c r="FQK15" s="64"/>
      <c r="FQL15" s="64"/>
      <c r="FQM15" s="64"/>
      <c r="FQN15" s="64"/>
      <c r="FQO15" s="64"/>
      <c r="FQP15" s="64"/>
      <c r="FQQ15" s="64"/>
      <c r="FQR15" s="64"/>
      <c r="FQS15" s="64"/>
      <c r="FQT15" s="64"/>
      <c r="FQU15" s="64"/>
      <c r="FQV15" s="64"/>
      <c r="FQW15" s="64"/>
      <c r="FQX15" s="64"/>
      <c r="FQY15" s="64"/>
      <c r="FQZ15" s="64"/>
      <c r="FRA15" s="64"/>
      <c r="FRB15" s="64"/>
      <c r="FRC15" s="64"/>
      <c r="FRD15" s="64"/>
      <c r="FRE15" s="64"/>
      <c r="FRF15" s="64"/>
      <c r="FRG15" s="64"/>
      <c r="FRH15" s="64"/>
      <c r="FRI15" s="64"/>
      <c r="FRJ15" s="64"/>
      <c r="FRK15" s="64"/>
      <c r="FRL15" s="64"/>
      <c r="FRS15" s="64"/>
      <c r="FRT15" s="64"/>
      <c r="FRU15" s="64"/>
      <c r="FRV15" s="64"/>
      <c r="FRW15" s="64"/>
      <c r="FRX15" s="64"/>
      <c r="FRY15" s="64"/>
      <c r="FRZ15" s="64"/>
      <c r="FSA15" s="64"/>
      <c r="FSB15" s="64"/>
      <c r="FSC15" s="64"/>
      <c r="FSD15" s="64"/>
      <c r="FSE15" s="64"/>
      <c r="FSF15" s="64"/>
      <c r="FSG15" s="64"/>
      <c r="FSH15" s="64"/>
      <c r="FSI15" s="64"/>
      <c r="FSJ15" s="64"/>
      <c r="FSK15" s="64"/>
      <c r="FSL15" s="64"/>
      <c r="FSM15" s="64"/>
      <c r="FSN15" s="64"/>
      <c r="FSO15" s="64"/>
      <c r="FSP15" s="64"/>
      <c r="FSQ15" s="64"/>
      <c r="FSR15" s="64"/>
      <c r="FSS15" s="64"/>
      <c r="FST15" s="64"/>
      <c r="FSU15" s="64"/>
      <c r="FSV15" s="64"/>
      <c r="FSW15" s="64"/>
      <c r="FSX15" s="64"/>
      <c r="FSY15" s="64"/>
      <c r="FSZ15" s="64"/>
      <c r="FTA15" s="64"/>
      <c r="FTB15" s="64"/>
      <c r="FTC15" s="64"/>
      <c r="FTD15" s="64"/>
      <c r="FTE15" s="64"/>
      <c r="FTF15" s="64"/>
      <c r="FTG15" s="64"/>
      <c r="FTH15" s="64"/>
      <c r="FTI15" s="64"/>
      <c r="FTJ15" s="64"/>
      <c r="FTK15" s="64"/>
      <c r="FTL15" s="64"/>
      <c r="FTM15" s="64"/>
      <c r="FTN15" s="64"/>
      <c r="FTO15" s="64"/>
      <c r="FTP15" s="64"/>
      <c r="FTQ15" s="64"/>
      <c r="FTR15" s="64"/>
      <c r="FTS15" s="64"/>
      <c r="FTT15" s="64"/>
      <c r="FTU15" s="64"/>
      <c r="FTV15" s="64"/>
      <c r="FTW15" s="64"/>
      <c r="FTX15" s="64"/>
      <c r="FTY15" s="64"/>
      <c r="FTZ15" s="64"/>
      <c r="FUA15" s="64"/>
      <c r="FUB15" s="64"/>
      <c r="FUC15" s="64"/>
      <c r="FUD15" s="64"/>
      <c r="FUE15" s="64"/>
      <c r="FUF15" s="64"/>
      <c r="FUG15" s="64"/>
      <c r="FUH15" s="64"/>
      <c r="FUI15" s="64"/>
      <c r="FUJ15" s="64"/>
      <c r="FUK15" s="64"/>
      <c r="FUL15" s="64"/>
      <c r="FUM15" s="64"/>
      <c r="FUN15" s="64"/>
      <c r="FUO15" s="64"/>
      <c r="FUP15" s="64"/>
      <c r="FUQ15" s="64"/>
      <c r="FUR15" s="64"/>
      <c r="FUS15" s="64"/>
      <c r="FUT15" s="64"/>
      <c r="FUU15" s="64"/>
      <c r="FUV15" s="64"/>
      <c r="FUW15" s="64"/>
      <c r="FUX15" s="64"/>
      <c r="FUY15" s="64"/>
      <c r="FUZ15" s="64"/>
      <c r="FVA15" s="64"/>
      <c r="FVB15" s="64"/>
      <c r="FVC15" s="64"/>
      <c r="FVD15" s="64"/>
      <c r="FVE15" s="64"/>
      <c r="FVF15" s="64"/>
      <c r="FVG15" s="64"/>
      <c r="FVH15" s="64"/>
      <c r="FVI15" s="64"/>
      <c r="FVJ15" s="64"/>
      <c r="FVK15" s="64"/>
      <c r="FVL15" s="64"/>
      <c r="FVM15" s="64"/>
      <c r="FVN15" s="64"/>
      <c r="FVO15" s="64"/>
      <c r="FVP15" s="64"/>
      <c r="FVQ15" s="64"/>
      <c r="FVR15" s="64"/>
      <c r="FVS15" s="64"/>
      <c r="FVT15" s="64"/>
      <c r="FVU15" s="64"/>
      <c r="FVV15" s="64"/>
      <c r="FVW15" s="64"/>
      <c r="FVX15" s="64"/>
      <c r="FVY15" s="64"/>
      <c r="FVZ15" s="64"/>
      <c r="FWA15" s="64"/>
      <c r="FWB15" s="64"/>
      <c r="FWC15" s="64"/>
      <c r="FWD15" s="64"/>
      <c r="FWE15" s="64"/>
      <c r="FWF15" s="64"/>
      <c r="FWG15" s="64"/>
      <c r="FWH15" s="64"/>
      <c r="FWI15" s="64"/>
      <c r="FWJ15" s="64"/>
      <c r="FWK15" s="64"/>
      <c r="FWL15" s="64"/>
      <c r="FWM15" s="64"/>
      <c r="FWN15" s="64"/>
      <c r="FWO15" s="64"/>
      <c r="FWP15" s="64"/>
      <c r="FWQ15" s="64"/>
      <c r="FWR15" s="64"/>
      <c r="FWS15" s="64"/>
      <c r="FWT15" s="64"/>
      <c r="FWU15" s="64"/>
      <c r="FWV15" s="64"/>
      <c r="FWW15" s="64"/>
      <c r="FWX15" s="64"/>
      <c r="FWY15" s="64"/>
      <c r="FWZ15" s="64"/>
      <c r="FXA15" s="64"/>
      <c r="FXB15" s="64"/>
      <c r="FXC15" s="64"/>
      <c r="FXD15" s="64"/>
      <c r="FXE15" s="64"/>
      <c r="FXF15" s="64"/>
      <c r="FXG15" s="64"/>
      <c r="FXH15" s="64"/>
      <c r="FXI15" s="64"/>
      <c r="FXJ15" s="64"/>
      <c r="FXK15" s="64"/>
      <c r="FXL15" s="64"/>
      <c r="FXM15" s="64"/>
      <c r="FXN15" s="64"/>
      <c r="FXO15" s="64"/>
      <c r="FXP15" s="64"/>
      <c r="FXQ15" s="64"/>
      <c r="FXR15" s="64"/>
      <c r="FXS15" s="64"/>
      <c r="FXT15" s="64"/>
      <c r="FXU15" s="64"/>
      <c r="FXV15" s="64"/>
      <c r="FXW15" s="64"/>
      <c r="FXX15" s="64"/>
      <c r="FXY15" s="64"/>
      <c r="FXZ15" s="64"/>
      <c r="FYA15" s="64"/>
      <c r="FYB15" s="64"/>
      <c r="FYC15" s="64"/>
      <c r="FYD15" s="64"/>
      <c r="FYE15" s="64"/>
      <c r="FYF15" s="64"/>
      <c r="FYG15" s="64"/>
      <c r="FYH15" s="64"/>
      <c r="FYI15" s="64"/>
      <c r="FYJ15" s="64"/>
      <c r="FYK15" s="64"/>
      <c r="FYL15" s="64"/>
      <c r="FYM15" s="64"/>
      <c r="FYN15" s="64"/>
      <c r="FYO15" s="64"/>
      <c r="FYP15" s="64"/>
      <c r="FYQ15" s="64"/>
      <c r="FYR15" s="64"/>
      <c r="FYS15" s="64"/>
      <c r="FYT15" s="64"/>
      <c r="FYU15" s="64"/>
      <c r="FYV15" s="64"/>
      <c r="FYW15" s="64"/>
      <c r="FYX15" s="64"/>
      <c r="FYY15" s="64"/>
      <c r="FYZ15" s="64"/>
      <c r="FZA15" s="64"/>
      <c r="FZB15" s="64"/>
      <c r="FZC15" s="64"/>
      <c r="FZD15" s="64"/>
      <c r="FZE15" s="64"/>
      <c r="FZF15" s="64"/>
      <c r="FZG15" s="64"/>
      <c r="FZH15" s="64"/>
      <c r="FZI15" s="64"/>
      <c r="FZJ15" s="64"/>
      <c r="FZK15" s="64"/>
      <c r="FZL15" s="64"/>
      <c r="FZM15" s="64"/>
      <c r="FZN15" s="64"/>
      <c r="FZO15" s="64"/>
      <c r="FZP15" s="64"/>
      <c r="FZQ15" s="64"/>
      <c r="FZR15" s="64"/>
      <c r="FZS15" s="64"/>
      <c r="FZT15" s="64"/>
      <c r="FZU15" s="64"/>
      <c r="FZV15" s="64"/>
      <c r="FZW15" s="64"/>
      <c r="FZX15" s="64"/>
      <c r="FZY15" s="64"/>
      <c r="FZZ15" s="64"/>
      <c r="GAA15" s="64"/>
      <c r="GAB15" s="64"/>
      <c r="GAC15" s="64"/>
      <c r="GAD15" s="64"/>
      <c r="GAE15" s="64"/>
      <c r="GAF15" s="64"/>
      <c r="GAG15" s="64"/>
      <c r="GAH15" s="64"/>
      <c r="GAI15" s="64"/>
      <c r="GAJ15" s="64"/>
      <c r="GAK15" s="64"/>
      <c r="GAL15" s="64"/>
      <c r="GAM15" s="64"/>
      <c r="GAN15" s="64"/>
      <c r="GAO15" s="64"/>
      <c r="GAP15" s="64"/>
      <c r="GAQ15" s="64"/>
      <c r="GAR15" s="64"/>
      <c r="GAS15" s="64"/>
      <c r="GAT15" s="64"/>
      <c r="GAU15" s="64"/>
      <c r="GAV15" s="64"/>
      <c r="GAW15" s="64"/>
      <c r="GAX15" s="64"/>
      <c r="GAY15" s="64"/>
      <c r="GAZ15" s="64"/>
      <c r="GBA15" s="64"/>
      <c r="GBB15" s="64"/>
      <c r="GBC15" s="64"/>
      <c r="GBD15" s="64"/>
      <c r="GBE15" s="64"/>
      <c r="GBF15" s="64"/>
      <c r="GBG15" s="64"/>
      <c r="GBH15" s="64"/>
      <c r="GBO15" s="64"/>
      <c r="GBP15" s="64"/>
      <c r="GBQ15" s="64"/>
      <c r="GBR15" s="64"/>
      <c r="GBS15" s="64"/>
      <c r="GBT15" s="64"/>
      <c r="GBU15" s="64"/>
      <c r="GBV15" s="64"/>
      <c r="GBW15" s="64"/>
      <c r="GBX15" s="64"/>
      <c r="GBY15" s="64"/>
      <c r="GBZ15" s="64"/>
      <c r="GCA15" s="64"/>
      <c r="GCB15" s="64"/>
      <c r="GCC15" s="64"/>
      <c r="GCD15" s="64"/>
      <c r="GCE15" s="64"/>
      <c r="GCF15" s="64"/>
      <c r="GCG15" s="64"/>
      <c r="GCH15" s="64"/>
      <c r="GCI15" s="64"/>
      <c r="GCJ15" s="64"/>
      <c r="GCK15" s="64"/>
      <c r="GCL15" s="64"/>
      <c r="GCM15" s="64"/>
      <c r="GCN15" s="64"/>
      <c r="GCO15" s="64"/>
      <c r="GCP15" s="64"/>
      <c r="GCQ15" s="64"/>
      <c r="GCR15" s="64"/>
      <c r="GCS15" s="64"/>
      <c r="GCT15" s="64"/>
      <c r="GCU15" s="64"/>
      <c r="GCV15" s="64"/>
      <c r="GCW15" s="64"/>
      <c r="GCX15" s="64"/>
      <c r="GCY15" s="64"/>
      <c r="GCZ15" s="64"/>
      <c r="GDA15" s="64"/>
      <c r="GDB15" s="64"/>
      <c r="GDC15" s="64"/>
      <c r="GDD15" s="64"/>
      <c r="GDE15" s="64"/>
      <c r="GDF15" s="64"/>
      <c r="GDG15" s="64"/>
      <c r="GDH15" s="64"/>
      <c r="GDI15" s="64"/>
      <c r="GDJ15" s="64"/>
      <c r="GDK15" s="64"/>
      <c r="GDL15" s="64"/>
      <c r="GDM15" s="64"/>
      <c r="GDN15" s="64"/>
      <c r="GDO15" s="64"/>
      <c r="GDP15" s="64"/>
      <c r="GDQ15" s="64"/>
      <c r="GDR15" s="64"/>
      <c r="GDS15" s="64"/>
      <c r="GDT15" s="64"/>
      <c r="GDU15" s="64"/>
      <c r="GDV15" s="64"/>
      <c r="GDW15" s="64"/>
      <c r="GDX15" s="64"/>
      <c r="GDY15" s="64"/>
      <c r="GDZ15" s="64"/>
      <c r="GEA15" s="64"/>
      <c r="GEB15" s="64"/>
      <c r="GEC15" s="64"/>
      <c r="GED15" s="64"/>
      <c r="GEE15" s="64"/>
      <c r="GEF15" s="64"/>
      <c r="GEG15" s="64"/>
      <c r="GEH15" s="64"/>
      <c r="GEI15" s="64"/>
      <c r="GEJ15" s="64"/>
      <c r="GEK15" s="64"/>
      <c r="GEL15" s="64"/>
      <c r="GEM15" s="64"/>
      <c r="GEN15" s="64"/>
      <c r="GEO15" s="64"/>
      <c r="GEP15" s="64"/>
      <c r="GEQ15" s="64"/>
      <c r="GER15" s="64"/>
      <c r="GES15" s="64"/>
      <c r="GET15" s="64"/>
      <c r="GEU15" s="64"/>
      <c r="GEV15" s="64"/>
      <c r="GEW15" s="64"/>
      <c r="GEX15" s="64"/>
      <c r="GEY15" s="64"/>
      <c r="GEZ15" s="64"/>
      <c r="GFA15" s="64"/>
      <c r="GFB15" s="64"/>
      <c r="GFC15" s="64"/>
      <c r="GFD15" s="64"/>
      <c r="GFE15" s="64"/>
      <c r="GFF15" s="64"/>
      <c r="GFG15" s="64"/>
      <c r="GFH15" s="64"/>
      <c r="GFI15" s="64"/>
      <c r="GFJ15" s="64"/>
      <c r="GFK15" s="64"/>
      <c r="GFL15" s="64"/>
      <c r="GFM15" s="64"/>
      <c r="GFN15" s="64"/>
      <c r="GFO15" s="64"/>
      <c r="GFP15" s="64"/>
      <c r="GFQ15" s="64"/>
      <c r="GFR15" s="64"/>
      <c r="GFS15" s="64"/>
      <c r="GFT15" s="64"/>
      <c r="GFU15" s="64"/>
      <c r="GFV15" s="64"/>
      <c r="GFW15" s="64"/>
      <c r="GFX15" s="64"/>
      <c r="GFY15" s="64"/>
      <c r="GFZ15" s="64"/>
      <c r="GGA15" s="64"/>
      <c r="GGB15" s="64"/>
      <c r="GGC15" s="64"/>
      <c r="GGD15" s="64"/>
      <c r="GGE15" s="64"/>
      <c r="GGF15" s="64"/>
      <c r="GGG15" s="64"/>
      <c r="GGH15" s="64"/>
      <c r="GGI15" s="64"/>
      <c r="GGJ15" s="64"/>
      <c r="GGK15" s="64"/>
      <c r="GGL15" s="64"/>
      <c r="GGM15" s="64"/>
      <c r="GGN15" s="64"/>
      <c r="GGO15" s="64"/>
      <c r="GGP15" s="64"/>
      <c r="GGQ15" s="64"/>
      <c r="GGR15" s="64"/>
      <c r="GGS15" s="64"/>
      <c r="GGT15" s="64"/>
      <c r="GGU15" s="64"/>
      <c r="GGV15" s="64"/>
      <c r="GGW15" s="64"/>
      <c r="GGX15" s="64"/>
      <c r="GGY15" s="64"/>
      <c r="GGZ15" s="64"/>
      <c r="GHA15" s="64"/>
      <c r="GHB15" s="64"/>
      <c r="GHC15" s="64"/>
      <c r="GHD15" s="64"/>
      <c r="GHE15" s="64"/>
      <c r="GHF15" s="64"/>
      <c r="GHG15" s="64"/>
      <c r="GHH15" s="64"/>
      <c r="GHI15" s="64"/>
      <c r="GHJ15" s="64"/>
      <c r="GHK15" s="64"/>
      <c r="GHL15" s="64"/>
      <c r="GHM15" s="64"/>
      <c r="GHN15" s="64"/>
      <c r="GHO15" s="64"/>
      <c r="GHP15" s="64"/>
      <c r="GHQ15" s="64"/>
      <c r="GHR15" s="64"/>
      <c r="GHS15" s="64"/>
      <c r="GHT15" s="64"/>
      <c r="GHU15" s="64"/>
      <c r="GHV15" s="64"/>
      <c r="GHW15" s="64"/>
      <c r="GHX15" s="64"/>
      <c r="GHY15" s="64"/>
      <c r="GHZ15" s="64"/>
      <c r="GIA15" s="64"/>
      <c r="GIB15" s="64"/>
      <c r="GIC15" s="64"/>
      <c r="GID15" s="64"/>
      <c r="GIE15" s="64"/>
      <c r="GIF15" s="64"/>
      <c r="GIG15" s="64"/>
      <c r="GIH15" s="64"/>
      <c r="GII15" s="64"/>
      <c r="GIJ15" s="64"/>
      <c r="GIK15" s="64"/>
      <c r="GIL15" s="64"/>
      <c r="GIM15" s="64"/>
      <c r="GIN15" s="64"/>
      <c r="GIO15" s="64"/>
      <c r="GIP15" s="64"/>
      <c r="GIQ15" s="64"/>
      <c r="GIR15" s="64"/>
      <c r="GIS15" s="64"/>
      <c r="GIT15" s="64"/>
      <c r="GIU15" s="64"/>
      <c r="GIV15" s="64"/>
      <c r="GIW15" s="64"/>
      <c r="GIX15" s="64"/>
      <c r="GIY15" s="64"/>
      <c r="GIZ15" s="64"/>
      <c r="GJA15" s="64"/>
      <c r="GJB15" s="64"/>
      <c r="GJC15" s="64"/>
      <c r="GJD15" s="64"/>
      <c r="GJE15" s="64"/>
      <c r="GJF15" s="64"/>
      <c r="GJG15" s="64"/>
      <c r="GJH15" s="64"/>
      <c r="GJI15" s="64"/>
      <c r="GJJ15" s="64"/>
      <c r="GJK15" s="64"/>
      <c r="GJL15" s="64"/>
      <c r="GJM15" s="64"/>
      <c r="GJN15" s="64"/>
      <c r="GJO15" s="64"/>
      <c r="GJP15" s="64"/>
      <c r="GJQ15" s="64"/>
      <c r="GJR15" s="64"/>
      <c r="GJS15" s="64"/>
      <c r="GJT15" s="64"/>
      <c r="GJU15" s="64"/>
      <c r="GJV15" s="64"/>
      <c r="GJW15" s="64"/>
      <c r="GJX15" s="64"/>
      <c r="GJY15" s="64"/>
      <c r="GJZ15" s="64"/>
      <c r="GKA15" s="64"/>
      <c r="GKB15" s="64"/>
      <c r="GKC15" s="64"/>
      <c r="GKD15" s="64"/>
      <c r="GKE15" s="64"/>
      <c r="GKF15" s="64"/>
      <c r="GKG15" s="64"/>
      <c r="GKH15" s="64"/>
      <c r="GKI15" s="64"/>
      <c r="GKJ15" s="64"/>
      <c r="GKK15" s="64"/>
      <c r="GKL15" s="64"/>
      <c r="GKM15" s="64"/>
      <c r="GKN15" s="64"/>
      <c r="GKO15" s="64"/>
      <c r="GKP15" s="64"/>
      <c r="GKQ15" s="64"/>
      <c r="GKR15" s="64"/>
      <c r="GKS15" s="64"/>
      <c r="GKT15" s="64"/>
      <c r="GKU15" s="64"/>
      <c r="GKV15" s="64"/>
      <c r="GKW15" s="64"/>
      <c r="GKX15" s="64"/>
      <c r="GKY15" s="64"/>
      <c r="GKZ15" s="64"/>
      <c r="GLA15" s="64"/>
      <c r="GLB15" s="64"/>
      <c r="GLC15" s="64"/>
      <c r="GLD15" s="64"/>
      <c r="GLK15" s="64"/>
      <c r="GLL15" s="64"/>
      <c r="GLM15" s="64"/>
      <c r="GLN15" s="64"/>
      <c r="GLO15" s="64"/>
      <c r="GLP15" s="64"/>
      <c r="GLQ15" s="64"/>
      <c r="GLR15" s="64"/>
      <c r="GLS15" s="64"/>
      <c r="GLT15" s="64"/>
      <c r="GLU15" s="64"/>
      <c r="GLV15" s="64"/>
      <c r="GLW15" s="64"/>
      <c r="GLX15" s="64"/>
      <c r="GLY15" s="64"/>
      <c r="GLZ15" s="64"/>
      <c r="GMA15" s="64"/>
      <c r="GMB15" s="64"/>
      <c r="GMC15" s="64"/>
      <c r="GMD15" s="64"/>
      <c r="GME15" s="64"/>
      <c r="GMF15" s="64"/>
      <c r="GMG15" s="64"/>
      <c r="GMH15" s="64"/>
      <c r="GMI15" s="64"/>
      <c r="GMJ15" s="64"/>
      <c r="GMK15" s="64"/>
      <c r="GML15" s="64"/>
      <c r="GMM15" s="64"/>
      <c r="GMN15" s="64"/>
      <c r="GMO15" s="64"/>
      <c r="GMP15" s="64"/>
      <c r="GMQ15" s="64"/>
      <c r="GMR15" s="64"/>
      <c r="GMS15" s="64"/>
      <c r="GMT15" s="64"/>
      <c r="GMU15" s="64"/>
      <c r="GMV15" s="64"/>
      <c r="GMW15" s="64"/>
      <c r="GMX15" s="64"/>
      <c r="GMY15" s="64"/>
      <c r="GMZ15" s="64"/>
      <c r="GNA15" s="64"/>
      <c r="GNB15" s="64"/>
      <c r="GNC15" s="64"/>
      <c r="GND15" s="64"/>
      <c r="GNE15" s="64"/>
      <c r="GNF15" s="64"/>
      <c r="GNG15" s="64"/>
      <c r="GNH15" s="64"/>
      <c r="GNI15" s="64"/>
      <c r="GNJ15" s="64"/>
      <c r="GNK15" s="64"/>
      <c r="GNL15" s="64"/>
      <c r="GNM15" s="64"/>
      <c r="GNN15" s="64"/>
      <c r="GNO15" s="64"/>
      <c r="GNP15" s="64"/>
      <c r="GNQ15" s="64"/>
      <c r="GNR15" s="64"/>
      <c r="GNS15" s="64"/>
      <c r="GNT15" s="64"/>
      <c r="GNU15" s="64"/>
      <c r="GNV15" s="64"/>
      <c r="GNW15" s="64"/>
      <c r="GNX15" s="64"/>
      <c r="GNY15" s="64"/>
      <c r="GNZ15" s="64"/>
      <c r="GOA15" s="64"/>
      <c r="GOB15" s="64"/>
      <c r="GOC15" s="64"/>
      <c r="GOD15" s="64"/>
      <c r="GOE15" s="64"/>
      <c r="GOF15" s="64"/>
      <c r="GOG15" s="64"/>
      <c r="GOH15" s="64"/>
      <c r="GOI15" s="64"/>
      <c r="GOJ15" s="64"/>
      <c r="GOK15" s="64"/>
      <c r="GOL15" s="64"/>
      <c r="GOM15" s="64"/>
      <c r="GON15" s="64"/>
      <c r="GOO15" s="64"/>
      <c r="GOP15" s="64"/>
      <c r="GOQ15" s="64"/>
      <c r="GOR15" s="64"/>
      <c r="GOS15" s="64"/>
      <c r="GOT15" s="64"/>
      <c r="GOU15" s="64"/>
      <c r="GOV15" s="64"/>
      <c r="GOW15" s="64"/>
      <c r="GOX15" s="64"/>
      <c r="GOY15" s="64"/>
      <c r="GOZ15" s="64"/>
      <c r="GPA15" s="64"/>
      <c r="GPB15" s="64"/>
      <c r="GPC15" s="64"/>
      <c r="GPD15" s="64"/>
      <c r="GPE15" s="64"/>
      <c r="GPF15" s="64"/>
      <c r="GPG15" s="64"/>
      <c r="GPH15" s="64"/>
      <c r="GPI15" s="64"/>
      <c r="GPJ15" s="64"/>
      <c r="GPK15" s="64"/>
      <c r="GPL15" s="64"/>
      <c r="GPM15" s="64"/>
      <c r="GPN15" s="64"/>
      <c r="GPO15" s="64"/>
      <c r="GPP15" s="64"/>
      <c r="GPQ15" s="64"/>
      <c r="GPR15" s="64"/>
      <c r="GPS15" s="64"/>
      <c r="GPT15" s="64"/>
      <c r="GPU15" s="64"/>
      <c r="GPV15" s="64"/>
      <c r="GPW15" s="64"/>
      <c r="GPX15" s="64"/>
      <c r="GPY15" s="64"/>
      <c r="GPZ15" s="64"/>
      <c r="GQA15" s="64"/>
      <c r="GQB15" s="64"/>
      <c r="GQC15" s="64"/>
      <c r="GQD15" s="64"/>
      <c r="GQE15" s="64"/>
      <c r="GQF15" s="64"/>
      <c r="GQG15" s="64"/>
      <c r="GQH15" s="64"/>
      <c r="GQI15" s="64"/>
      <c r="GQJ15" s="64"/>
      <c r="GQK15" s="64"/>
      <c r="GQL15" s="64"/>
      <c r="GQM15" s="64"/>
      <c r="GQN15" s="64"/>
      <c r="GQO15" s="64"/>
      <c r="GQP15" s="64"/>
      <c r="GQQ15" s="64"/>
      <c r="GQR15" s="64"/>
      <c r="GQS15" s="64"/>
      <c r="GQT15" s="64"/>
      <c r="GQU15" s="64"/>
      <c r="GQV15" s="64"/>
      <c r="GQW15" s="64"/>
      <c r="GQX15" s="64"/>
      <c r="GQY15" s="64"/>
      <c r="GQZ15" s="64"/>
      <c r="GRA15" s="64"/>
      <c r="GRB15" s="64"/>
      <c r="GRC15" s="64"/>
      <c r="GRD15" s="64"/>
      <c r="GRE15" s="64"/>
      <c r="GRF15" s="64"/>
      <c r="GRG15" s="64"/>
      <c r="GRH15" s="64"/>
      <c r="GRI15" s="64"/>
      <c r="GRJ15" s="64"/>
      <c r="GRK15" s="64"/>
      <c r="GRL15" s="64"/>
      <c r="GRM15" s="64"/>
      <c r="GRN15" s="64"/>
      <c r="GRO15" s="64"/>
      <c r="GRP15" s="64"/>
      <c r="GRQ15" s="64"/>
      <c r="GRR15" s="64"/>
      <c r="GRS15" s="64"/>
      <c r="GRT15" s="64"/>
      <c r="GRU15" s="64"/>
      <c r="GRV15" s="64"/>
      <c r="GRW15" s="64"/>
      <c r="GRX15" s="64"/>
      <c r="GRY15" s="64"/>
      <c r="GRZ15" s="64"/>
      <c r="GSA15" s="64"/>
      <c r="GSB15" s="64"/>
      <c r="GSC15" s="64"/>
      <c r="GSD15" s="64"/>
      <c r="GSE15" s="64"/>
      <c r="GSF15" s="64"/>
      <c r="GSG15" s="64"/>
      <c r="GSH15" s="64"/>
      <c r="GSI15" s="64"/>
      <c r="GSJ15" s="64"/>
      <c r="GSK15" s="64"/>
      <c r="GSL15" s="64"/>
      <c r="GSM15" s="64"/>
      <c r="GSN15" s="64"/>
      <c r="GSO15" s="64"/>
      <c r="GSP15" s="64"/>
      <c r="GSQ15" s="64"/>
      <c r="GSR15" s="64"/>
      <c r="GSS15" s="64"/>
      <c r="GST15" s="64"/>
      <c r="GSU15" s="64"/>
      <c r="GSV15" s="64"/>
      <c r="GSW15" s="64"/>
      <c r="GSX15" s="64"/>
      <c r="GSY15" s="64"/>
      <c r="GSZ15" s="64"/>
      <c r="GTA15" s="64"/>
      <c r="GTB15" s="64"/>
      <c r="GTC15" s="64"/>
      <c r="GTD15" s="64"/>
      <c r="GTE15" s="64"/>
      <c r="GTF15" s="64"/>
      <c r="GTG15" s="64"/>
      <c r="GTH15" s="64"/>
      <c r="GTI15" s="64"/>
      <c r="GTJ15" s="64"/>
      <c r="GTK15" s="64"/>
      <c r="GTL15" s="64"/>
      <c r="GTM15" s="64"/>
      <c r="GTN15" s="64"/>
      <c r="GTO15" s="64"/>
      <c r="GTP15" s="64"/>
      <c r="GTQ15" s="64"/>
      <c r="GTR15" s="64"/>
      <c r="GTS15" s="64"/>
      <c r="GTT15" s="64"/>
      <c r="GTU15" s="64"/>
      <c r="GTV15" s="64"/>
      <c r="GTW15" s="64"/>
      <c r="GTX15" s="64"/>
      <c r="GTY15" s="64"/>
      <c r="GTZ15" s="64"/>
      <c r="GUA15" s="64"/>
      <c r="GUB15" s="64"/>
      <c r="GUC15" s="64"/>
      <c r="GUD15" s="64"/>
      <c r="GUE15" s="64"/>
      <c r="GUF15" s="64"/>
      <c r="GUG15" s="64"/>
      <c r="GUH15" s="64"/>
      <c r="GUI15" s="64"/>
      <c r="GUJ15" s="64"/>
      <c r="GUK15" s="64"/>
      <c r="GUL15" s="64"/>
      <c r="GUM15" s="64"/>
      <c r="GUN15" s="64"/>
      <c r="GUO15" s="64"/>
      <c r="GUP15" s="64"/>
      <c r="GUQ15" s="64"/>
      <c r="GUR15" s="64"/>
      <c r="GUS15" s="64"/>
      <c r="GUT15" s="64"/>
      <c r="GUU15" s="64"/>
      <c r="GUV15" s="64"/>
      <c r="GUW15" s="64"/>
      <c r="GUX15" s="64"/>
      <c r="GUY15" s="64"/>
      <c r="GUZ15" s="64"/>
      <c r="GVG15" s="64"/>
      <c r="GVH15" s="64"/>
      <c r="GVI15" s="64"/>
      <c r="GVJ15" s="64"/>
      <c r="GVK15" s="64"/>
      <c r="GVL15" s="64"/>
      <c r="GVM15" s="64"/>
      <c r="GVN15" s="64"/>
      <c r="GVO15" s="64"/>
      <c r="GVP15" s="64"/>
      <c r="GVQ15" s="64"/>
      <c r="GVR15" s="64"/>
      <c r="GVS15" s="64"/>
      <c r="GVT15" s="64"/>
      <c r="GVU15" s="64"/>
      <c r="GVV15" s="64"/>
      <c r="GVW15" s="64"/>
      <c r="GVX15" s="64"/>
      <c r="GVY15" s="64"/>
      <c r="GVZ15" s="64"/>
      <c r="GWA15" s="64"/>
      <c r="GWB15" s="64"/>
      <c r="GWC15" s="64"/>
      <c r="GWD15" s="64"/>
      <c r="GWE15" s="64"/>
      <c r="GWF15" s="64"/>
      <c r="GWG15" s="64"/>
      <c r="GWH15" s="64"/>
      <c r="GWI15" s="64"/>
      <c r="GWJ15" s="64"/>
      <c r="GWK15" s="64"/>
      <c r="GWL15" s="64"/>
      <c r="GWM15" s="64"/>
      <c r="GWN15" s="64"/>
      <c r="GWO15" s="64"/>
      <c r="GWP15" s="64"/>
      <c r="GWQ15" s="64"/>
      <c r="GWR15" s="64"/>
      <c r="GWS15" s="64"/>
      <c r="GWT15" s="64"/>
      <c r="GWU15" s="64"/>
      <c r="GWV15" s="64"/>
      <c r="GWW15" s="64"/>
      <c r="GWX15" s="64"/>
      <c r="GWY15" s="64"/>
      <c r="GWZ15" s="64"/>
      <c r="GXA15" s="64"/>
      <c r="GXB15" s="64"/>
      <c r="GXC15" s="64"/>
      <c r="GXD15" s="64"/>
      <c r="GXE15" s="64"/>
      <c r="GXF15" s="64"/>
      <c r="GXG15" s="64"/>
      <c r="GXH15" s="64"/>
      <c r="GXI15" s="64"/>
      <c r="GXJ15" s="64"/>
      <c r="GXK15" s="64"/>
      <c r="GXL15" s="64"/>
      <c r="GXM15" s="64"/>
      <c r="GXN15" s="64"/>
      <c r="GXO15" s="64"/>
      <c r="GXP15" s="64"/>
      <c r="GXQ15" s="64"/>
      <c r="GXR15" s="64"/>
      <c r="GXS15" s="64"/>
      <c r="GXT15" s="64"/>
      <c r="GXU15" s="64"/>
      <c r="GXV15" s="64"/>
      <c r="GXW15" s="64"/>
      <c r="GXX15" s="64"/>
      <c r="GXY15" s="64"/>
      <c r="GXZ15" s="64"/>
      <c r="GYA15" s="64"/>
      <c r="GYB15" s="64"/>
      <c r="GYC15" s="64"/>
      <c r="GYD15" s="64"/>
      <c r="GYE15" s="64"/>
      <c r="GYF15" s="64"/>
      <c r="GYG15" s="64"/>
      <c r="GYH15" s="64"/>
      <c r="GYI15" s="64"/>
      <c r="GYJ15" s="64"/>
      <c r="GYK15" s="64"/>
      <c r="GYL15" s="64"/>
      <c r="GYM15" s="64"/>
      <c r="GYN15" s="64"/>
      <c r="GYO15" s="64"/>
      <c r="GYP15" s="64"/>
      <c r="GYQ15" s="64"/>
      <c r="GYR15" s="64"/>
      <c r="GYS15" s="64"/>
      <c r="GYT15" s="64"/>
      <c r="GYU15" s="64"/>
      <c r="GYV15" s="64"/>
      <c r="GYW15" s="64"/>
      <c r="GYX15" s="64"/>
      <c r="GYY15" s="64"/>
      <c r="GYZ15" s="64"/>
      <c r="GZA15" s="64"/>
      <c r="GZB15" s="64"/>
      <c r="GZC15" s="64"/>
      <c r="GZD15" s="64"/>
      <c r="GZE15" s="64"/>
      <c r="GZF15" s="64"/>
      <c r="GZG15" s="64"/>
      <c r="GZH15" s="64"/>
      <c r="GZI15" s="64"/>
      <c r="GZJ15" s="64"/>
      <c r="GZK15" s="64"/>
      <c r="GZL15" s="64"/>
      <c r="GZM15" s="64"/>
      <c r="GZN15" s="64"/>
      <c r="GZO15" s="64"/>
      <c r="GZP15" s="64"/>
      <c r="GZQ15" s="64"/>
      <c r="GZR15" s="64"/>
      <c r="GZS15" s="64"/>
      <c r="GZT15" s="64"/>
      <c r="GZU15" s="64"/>
      <c r="GZV15" s="64"/>
      <c r="GZW15" s="64"/>
      <c r="GZX15" s="64"/>
      <c r="GZY15" s="64"/>
      <c r="GZZ15" s="64"/>
      <c r="HAA15" s="64"/>
      <c r="HAB15" s="64"/>
      <c r="HAC15" s="64"/>
      <c r="HAD15" s="64"/>
      <c r="HAE15" s="64"/>
      <c r="HAF15" s="64"/>
      <c r="HAG15" s="64"/>
      <c r="HAH15" s="64"/>
      <c r="HAI15" s="64"/>
      <c r="HAJ15" s="64"/>
      <c r="HAK15" s="64"/>
      <c r="HAL15" s="64"/>
      <c r="HAM15" s="64"/>
      <c r="HAN15" s="64"/>
      <c r="HAO15" s="64"/>
      <c r="HAP15" s="64"/>
      <c r="HAQ15" s="64"/>
      <c r="HAR15" s="64"/>
      <c r="HAS15" s="64"/>
      <c r="HAT15" s="64"/>
      <c r="HAU15" s="64"/>
      <c r="HAV15" s="64"/>
      <c r="HAW15" s="64"/>
      <c r="HAX15" s="64"/>
      <c r="HAY15" s="64"/>
      <c r="HAZ15" s="64"/>
      <c r="HBA15" s="64"/>
      <c r="HBB15" s="64"/>
      <c r="HBC15" s="64"/>
      <c r="HBD15" s="64"/>
      <c r="HBE15" s="64"/>
      <c r="HBF15" s="64"/>
      <c r="HBG15" s="64"/>
      <c r="HBH15" s="64"/>
      <c r="HBI15" s="64"/>
      <c r="HBJ15" s="64"/>
      <c r="HBK15" s="64"/>
      <c r="HBL15" s="64"/>
      <c r="HBM15" s="64"/>
      <c r="HBN15" s="64"/>
      <c r="HBO15" s="64"/>
      <c r="HBP15" s="64"/>
      <c r="HBQ15" s="64"/>
      <c r="HBR15" s="64"/>
      <c r="HBS15" s="64"/>
      <c r="HBT15" s="64"/>
      <c r="HBU15" s="64"/>
      <c r="HBV15" s="64"/>
      <c r="HBW15" s="64"/>
      <c r="HBX15" s="64"/>
      <c r="HBY15" s="64"/>
      <c r="HBZ15" s="64"/>
      <c r="HCA15" s="64"/>
      <c r="HCB15" s="64"/>
      <c r="HCC15" s="64"/>
      <c r="HCD15" s="64"/>
      <c r="HCE15" s="64"/>
      <c r="HCF15" s="64"/>
      <c r="HCG15" s="64"/>
      <c r="HCH15" s="64"/>
      <c r="HCI15" s="64"/>
      <c r="HCJ15" s="64"/>
      <c r="HCK15" s="64"/>
      <c r="HCL15" s="64"/>
      <c r="HCM15" s="64"/>
      <c r="HCN15" s="64"/>
      <c r="HCO15" s="64"/>
      <c r="HCP15" s="64"/>
      <c r="HCQ15" s="64"/>
      <c r="HCR15" s="64"/>
      <c r="HCS15" s="64"/>
      <c r="HCT15" s="64"/>
      <c r="HCU15" s="64"/>
      <c r="HCV15" s="64"/>
      <c r="HCW15" s="64"/>
      <c r="HCX15" s="64"/>
      <c r="HCY15" s="64"/>
      <c r="HCZ15" s="64"/>
      <c r="HDA15" s="64"/>
      <c r="HDB15" s="64"/>
      <c r="HDC15" s="64"/>
      <c r="HDD15" s="64"/>
      <c r="HDE15" s="64"/>
      <c r="HDF15" s="64"/>
      <c r="HDG15" s="64"/>
      <c r="HDH15" s="64"/>
      <c r="HDI15" s="64"/>
      <c r="HDJ15" s="64"/>
      <c r="HDK15" s="64"/>
      <c r="HDL15" s="64"/>
      <c r="HDM15" s="64"/>
      <c r="HDN15" s="64"/>
      <c r="HDO15" s="64"/>
      <c r="HDP15" s="64"/>
      <c r="HDQ15" s="64"/>
      <c r="HDR15" s="64"/>
      <c r="HDS15" s="64"/>
      <c r="HDT15" s="64"/>
      <c r="HDU15" s="64"/>
      <c r="HDV15" s="64"/>
      <c r="HDW15" s="64"/>
      <c r="HDX15" s="64"/>
      <c r="HDY15" s="64"/>
      <c r="HDZ15" s="64"/>
      <c r="HEA15" s="64"/>
      <c r="HEB15" s="64"/>
      <c r="HEC15" s="64"/>
      <c r="HED15" s="64"/>
      <c r="HEE15" s="64"/>
      <c r="HEF15" s="64"/>
      <c r="HEG15" s="64"/>
      <c r="HEH15" s="64"/>
      <c r="HEI15" s="64"/>
      <c r="HEJ15" s="64"/>
      <c r="HEK15" s="64"/>
      <c r="HEL15" s="64"/>
      <c r="HEM15" s="64"/>
      <c r="HEN15" s="64"/>
      <c r="HEO15" s="64"/>
      <c r="HEP15" s="64"/>
      <c r="HEQ15" s="64"/>
      <c r="HER15" s="64"/>
      <c r="HES15" s="64"/>
      <c r="HET15" s="64"/>
      <c r="HEU15" s="64"/>
      <c r="HEV15" s="64"/>
      <c r="HFC15" s="64"/>
      <c r="HFD15" s="64"/>
      <c r="HFE15" s="64"/>
      <c r="HFF15" s="64"/>
      <c r="HFG15" s="64"/>
      <c r="HFH15" s="64"/>
      <c r="HFI15" s="64"/>
      <c r="HFJ15" s="64"/>
      <c r="HFK15" s="64"/>
      <c r="HFL15" s="64"/>
      <c r="HFM15" s="64"/>
      <c r="HFN15" s="64"/>
      <c r="HFO15" s="64"/>
      <c r="HFP15" s="64"/>
      <c r="HFQ15" s="64"/>
      <c r="HFR15" s="64"/>
      <c r="HFS15" s="64"/>
      <c r="HFT15" s="64"/>
      <c r="HFU15" s="64"/>
      <c r="HFV15" s="64"/>
      <c r="HFW15" s="64"/>
      <c r="HFX15" s="64"/>
      <c r="HFY15" s="64"/>
      <c r="HFZ15" s="64"/>
      <c r="HGA15" s="64"/>
      <c r="HGB15" s="64"/>
      <c r="HGC15" s="64"/>
      <c r="HGD15" s="64"/>
      <c r="HGE15" s="64"/>
      <c r="HGF15" s="64"/>
      <c r="HGG15" s="64"/>
      <c r="HGH15" s="64"/>
      <c r="HGI15" s="64"/>
      <c r="HGJ15" s="64"/>
      <c r="HGK15" s="64"/>
      <c r="HGL15" s="64"/>
      <c r="HGM15" s="64"/>
      <c r="HGN15" s="64"/>
      <c r="HGO15" s="64"/>
      <c r="HGP15" s="64"/>
      <c r="HGQ15" s="64"/>
      <c r="HGR15" s="64"/>
      <c r="HGS15" s="64"/>
      <c r="HGT15" s="64"/>
      <c r="HGU15" s="64"/>
      <c r="HGV15" s="64"/>
      <c r="HGW15" s="64"/>
      <c r="HGX15" s="64"/>
      <c r="HGY15" s="64"/>
      <c r="HGZ15" s="64"/>
      <c r="HHA15" s="64"/>
      <c r="HHB15" s="64"/>
      <c r="HHC15" s="64"/>
      <c r="HHD15" s="64"/>
      <c r="HHE15" s="64"/>
      <c r="HHF15" s="64"/>
      <c r="HHG15" s="64"/>
      <c r="HHH15" s="64"/>
      <c r="HHI15" s="64"/>
      <c r="HHJ15" s="64"/>
      <c r="HHK15" s="64"/>
      <c r="HHL15" s="64"/>
      <c r="HHM15" s="64"/>
      <c r="HHN15" s="64"/>
      <c r="HHO15" s="64"/>
      <c r="HHP15" s="64"/>
      <c r="HHQ15" s="64"/>
      <c r="HHR15" s="64"/>
      <c r="HHS15" s="64"/>
      <c r="HHT15" s="64"/>
      <c r="HHU15" s="64"/>
      <c r="HHV15" s="64"/>
      <c r="HHW15" s="64"/>
      <c r="HHX15" s="64"/>
      <c r="HHY15" s="64"/>
      <c r="HHZ15" s="64"/>
      <c r="HIA15" s="64"/>
      <c r="HIB15" s="64"/>
      <c r="HIC15" s="64"/>
      <c r="HID15" s="64"/>
      <c r="HIE15" s="64"/>
      <c r="HIF15" s="64"/>
      <c r="HIG15" s="64"/>
      <c r="HIH15" s="64"/>
      <c r="HII15" s="64"/>
      <c r="HIJ15" s="64"/>
      <c r="HIK15" s="64"/>
      <c r="HIL15" s="64"/>
      <c r="HIM15" s="64"/>
      <c r="HIN15" s="64"/>
      <c r="HIO15" s="64"/>
      <c r="HIP15" s="64"/>
      <c r="HIQ15" s="64"/>
      <c r="HIR15" s="64"/>
      <c r="HIS15" s="64"/>
      <c r="HIT15" s="64"/>
      <c r="HIU15" s="64"/>
      <c r="HIV15" s="64"/>
      <c r="HIW15" s="64"/>
      <c r="HIX15" s="64"/>
      <c r="HIY15" s="64"/>
      <c r="HIZ15" s="64"/>
      <c r="HJA15" s="64"/>
      <c r="HJB15" s="64"/>
      <c r="HJC15" s="64"/>
      <c r="HJD15" s="64"/>
      <c r="HJE15" s="64"/>
      <c r="HJF15" s="64"/>
      <c r="HJG15" s="64"/>
      <c r="HJH15" s="64"/>
      <c r="HJI15" s="64"/>
      <c r="HJJ15" s="64"/>
      <c r="HJK15" s="64"/>
      <c r="HJL15" s="64"/>
      <c r="HJM15" s="64"/>
      <c r="HJN15" s="64"/>
      <c r="HJO15" s="64"/>
      <c r="HJP15" s="64"/>
      <c r="HJQ15" s="64"/>
      <c r="HJR15" s="64"/>
      <c r="HJS15" s="64"/>
      <c r="HJT15" s="64"/>
      <c r="HJU15" s="64"/>
      <c r="HJV15" s="64"/>
      <c r="HJW15" s="64"/>
      <c r="HJX15" s="64"/>
      <c r="HJY15" s="64"/>
      <c r="HJZ15" s="64"/>
      <c r="HKA15" s="64"/>
      <c r="HKB15" s="64"/>
      <c r="HKC15" s="64"/>
      <c r="HKD15" s="64"/>
      <c r="HKE15" s="64"/>
      <c r="HKF15" s="64"/>
      <c r="HKG15" s="64"/>
      <c r="HKH15" s="64"/>
      <c r="HKI15" s="64"/>
      <c r="HKJ15" s="64"/>
      <c r="HKK15" s="64"/>
      <c r="HKL15" s="64"/>
      <c r="HKM15" s="64"/>
      <c r="HKN15" s="64"/>
      <c r="HKO15" s="64"/>
      <c r="HKP15" s="64"/>
      <c r="HKQ15" s="64"/>
      <c r="HKR15" s="64"/>
      <c r="HKS15" s="64"/>
      <c r="HKT15" s="64"/>
      <c r="HKU15" s="64"/>
      <c r="HKV15" s="64"/>
      <c r="HKW15" s="64"/>
      <c r="HKX15" s="64"/>
      <c r="HKY15" s="64"/>
      <c r="HKZ15" s="64"/>
      <c r="HLA15" s="64"/>
      <c r="HLB15" s="64"/>
      <c r="HLC15" s="64"/>
      <c r="HLD15" s="64"/>
      <c r="HLE15" s="64"/>
      <c r="HLF15" s="64"/>
      <c r="HLG15" s="64"/>
      <c r="HLH15" s="64"/>
      <c r="HLI15" s="64"/>
      <c r="HLJ15" s="64"/>
      <c r="HLK15" s="64"/>
      <c r="HLL15" s="64"/>
      <c r="HLM15" s="64"/>
      <c r="HLN15" s="64"/>
      <c r="HLO15" s="64"/>
      <c r="HLP15" s="64"/>
      <c r="HLQ15" s="64"/>
      <c r="HLR15" s="64"/>
      <c r="HLS15" s="64"/>
      <c r="HLT15" s="64"/>
      <c r="HLU15" s="64"/>
      <c r="HLV15" s="64"/>
      <c r="HLW15" s="64"/>
      <c r="HLX15" s="64"/>
      <c r="HLY15" s="64"/>
      <c r="HLZ15" s="64"/>
      <c r="HMA15" s="64"/>
      <c r="HMB15" s="64"/>
      <c r="HMC15" s="64"/>
      <c r="HMD15" s="64"/>
      <c r="HME15" s="64"/>
      <c r="HMF15" s="64"/>
      <c r="HMG15" s="64"/>
      <c r="HMH15" s="64"/>
      <c r="HMI15" s="64"/>
      <c r="HMJ15" s="64"/>
      <c r="HMK15" s="64"/>
      <c r="HML15" s="64"/>
      <c r="HMM15" s="64"/>
      <c r="HMN15" s="64"/>
      <c r="HMO15" s="64"/>
      <c r="HMP15" s="64"/>
      <c r="HMQ15" s="64"/>
      <c r="HMR15" s="64"/>
      <c r="HMS15" s="64"/>
      <c r="HMT15" s="64"/>
      <c r="HMU15" s="64"/>
      <c r="HMV15" s="64"/>
      <c r="HMW15" s="64"/>
      <c r="HMX15" s="64"/>
      <c r="HMY15" s="64"/>
      <c r="HMZ15" s="64"/>
      <c r="HNA15" s="64"/>
      <c r="HNB15" s="64"/>
      <c r="HNC15" s="64"/>
      <c r="HND15" s="64"/>
      <c r="HNE15" s="64"/>
      <c r="HNF15" s="64"/>
      <c r="HNG15" s="64"/>
      <c r="HNH15" s="64"/>
      <c r="HNI15" s="64"/>
      <c r="HNJ15" s="64"/>
      <c r="HNK15" s="64"/>
      <c r="HNL15" s="64"/>
      <c r="HNM15" s="64"/>
      <c r="HNN15" s="64"/>
      <c r="HNO15" s="64"/>
      <c r="HNP15" s="64"/>
      <c r="HNQ15" s="64"/>
      <c r="HNR15" s="64"/>
      <c r="HNS15" s="64"/>
      <c r="HNT15" s="64"/>
      <c r="HNU15" s="64"/>
      <c r="HNV15" s="64"/>
      <c r="HNW15" s="64"/>
      <c r="HNX15" s="64"/>
      <c r="HNY15" s="64"/>
      <c r="HNZ15" s="64"/>
      <c r="HOA15" s="64"/>
      <c r="HOB15" s="64"/>
      <c r="HOC15" s="64"/>
      <c r="HOD15" s="64"/>
      <c r="HOE15" s="64"/>
      <c r="HOF15" s="64"/>
      <c r="HOG15" s="64"/>
      <c r="HOH15" s="64"/>
      <c r="HOI15" s="64"/>
      <c r="HOJ15" s="64"/>
      <c r="HOK15" s="64"/>
      <c r="HOL15" s="64"/>
      <c r="HOM15" s="64"/>
      <c r="HON15" s="64"/>
      <c r="HOO15" s="64"/>
      <c r="HOP15" s="64"/>
      <c r="HOQ15" s="64"/>
      <c r="HOR15" s="64"/>
      <c r="HOY15" s="64"/>
      <c r="HOZ15" s="64"/>
      <c r="HPA15" s="64"/>
      <c r="HPB15" s="64"/>
      <c r="HPC15" s="64"/>
      <c r="HPD15" s="64"/>
      <c r="HPE15" s="64"/>
      <c r="HPF15" s="64"/>
      <c r="HPG15" s="64"/>
      <c r="HPH15" s="64"/>
      <c r="HPI15" s="64"/>
      <c r="HPJ15" s="64"/>
      <c r="HPK15" s="64"/>
      <c r="HPL15" s="64"/>
      <c r="HPM15" s="64"/>
      <c r="HPN15" s="64"/>
      <c r="HPO15" s="64"/>
      <c r="HPP15" s="64"/>
      <c r="HPQ15" s="64"/>
      <c r="HPR15" s="64"/>
      <c r="HPS15" s="64"/>
      <c r="HPT15" s="64"/>
      <c r="HPU15" s="64"/>
      <c r="HPV15" s="64"/>
      <c r="HPW15" s="64"/>
      <c r="HPX15" s="64"/>
      <c r="HPY15" s="64"/>
      <c r="HPZ15" s="64"/>
      <c r="HQA15" s="64"/>
      <c r="HQB15" s="64"/>
      <c r="HQC15" s="64"/>
      <c r="HQD15" s="64"/>
      <c r="HQE15" s="64"/>
      <c r="HQF15" s="64"/>
      <c r="HQG15" s="64"/>
      <c r="HQH15" s="64"/>
      <c r="HQI15" s="64"/>
      <c r="HQJ15" s="64"/>
      <c r="HQK15" s="64"/>
      <c r="HQL15" s="64"/>
      <c r="HQM15" s="64"/>
      <c r="HQN15" s="64"/>
      <c r="HQO15" s="64"/>
      <c r="HQP15" s="64"/>
      <c r="HQQ15" s="64"/>
      <c r="HQR15" s="64"/>
      <c r="HQS15" s="64"/>
      <c r="HQT15" s="64"/>
      <c r="HQU15" s="64"/>
      <c r="HQV15" s="64"/>
      <c r="HQW15" s="64"/>
      <c r="HQX15" s="64"/>
      <c r="HQY15" s="64"/>
      <c r="HQZ15" s="64"/>
      <c r="HRA15" s="64"/>
      <c r="HRB15" s="64"/>
      <c r="HRC15" s="64"/>
      <c r="HRD15" s="64"/>
      <c r="HRE15" s="64"/>
      <c r="HRF15" s="64"/>
      <c r="HRG15" s="64"/>
      <c r="HRH15" s="64"/>
      <c r="HRI15" s="64"/>
      <c r="HRJ15" s="64"/>
      <c r="HRK15" s="64"/>
      <c r="HRL15" s="64"/>
      <c r="HRM15" s="64"/>
      <c r="HRN15" s="64"/>
      <c r="HRO15" s="64"/>
      <c r="HRP15" s="64"/>
      <c r="HRQ15" s="64"/>
      <c r="HRR15" s="64"/>
      <c r="HRS15" s="64"/>
      <c r="HRT15" s="64"/>
      <c r="HRU15" s="64"/>
      <c r="HRV15" s="64"/>
      <c r="HRW15" s="64"/>
      <c r="HRX15" s="64"/>
      <c r="HRY15" s="64"/>
      <c r="HRZ15" s="64"/>
      <c r="HSA15" s="64"/>
      <c r="HSB15" s="64"/>
      <c r="HSC15" s="64"/>
      <c r="HSD15" s="64"/>
      <c r="HSE15" s="64"/>
      <c r="HSF15" s="64"/>
      <c r="HSG15" s="64"/>
      <c r="HSH15" s="64"/>
      <c r="HSI15" s="64"/>
      <c r="HSJ15" s="64"/>
      <c r="HSK15" s="64"/>
      <c r="HSL15" s="64"/>
      <c r="HSM15" s="64"/>
      <c r="HSN15" s="64"/>
      <c r="HSO15" s="64"/>
      <c r="HSP15" s="64"/>
      <c r="HSQ15" s="64"/>
      <c r="HSR15" s="64"/>
      <c r="HSS15" s="64"/>
      <c r="HST15" s="64"/>
      <c r="HSU15" s="64"/>
      <c r="HSV15" s="64"/>
      <c r="HSW15" s="64"/>
      <c r="HSX15" s="64"/>
      <c r="HSY15" s="64"/>
      <c r="HSZ15" s="64"/>
      <c r="HTA15" s="64"/>
      <c r="HTB15" s="64"/>
      <c r="HTC15" s="64"/>
      <c r="HTD15" s="64"/>
      <c r="HTE15" s="64"/>
      <c r="HTF15" s="64"/>
      <c r="HTG15" s="64"/>
      <c r="HTH15" s="64"/>
      <c r="HTI15" s="64"/>
      <c r="HTJ15" s="64"/>
      <c r="HTK15" s="64"/>
      <c r="HTL15" s="64"/>
      <c r="HTM15" s="64"/>
      <c r="HTN15" s="64"/>
      <c r="HTO15" s="64"/>
      <c r="HTP15" s="64"/>
      <c r="HTQ15" s="64"/>
      <c r="HTR15" s="64"/>
      <c r="HTS15" s="64"/>
      <c r="HTT15" s="64"/>
      <c r="HTU15" s="64"/>
      <c r="HTV15" s="64"/>
      <c r="HTW15" s="64"/>
      <c r="HTX15" s="64"/>
      <c r="HTY15" s="64"/>
      <c r="HTZ15" s="64"/>
      <c r="HUA15" s="64"/>
      <c r="HUB15" s="64"/>
      <c r="HUC15" s="64"/>
      <c r="HUD15" s="64"/>
      <c r="HUE15" s="64"/>
      <c r="HUF15" s="64"/>
      <c r="HUG15" s="64"/>
      <c r="HUH15" s="64"/>
      <c r="HUI15" s="64"/>
      <c r="HUJ15" s="64"/>
      <c r="HUK15" s="64"/>
      <c r="HUL15" s="64"/>
      <c r="HUM15" s="64"/>
      <c r="HUN15" s="64"/>
      <c r="HUO15" s="64"/>
      <c r="HUP15" s="64"/>
      <c r="HUQ15" s="64"/>
      <c r="HUR15" s="64"/>
      <c r="HUS15" s="64"/>
      <c r="HUT15" s="64"/>
      <c r="HUU15" s="64"/>
      <c r="HUV15" s="64"/>
      <c r="HUW15" s="64"/>
      <c r="HUX15" s="64"/>
      <c r="HUY15" s="64"/>
      <c r="HUZ15" s="64"/>
      <c r="HVA15" s="64"/>
      <c r="HVB15" s="64"/>
      <c r="HVC15" s="64"/>
      <c r="HVD15" s="64"/>
      <c r="HVE15" s="64"/>
      <c r="HVF15" s="64"/>
      <c r="HVG15" s="64"/>
      <c r="HVH15" s="64"/>
      <c r="HVI15" s="64"/>
      <c r="HVJ15" s="64"/>
      <c r="HVK15" s="64"/>
      <c r="HVL15" s="64"/>
      <c r="HVM15" s="64"/>
      <c r="HVN15" s="64"/>
      <c r="HVO15" s="64"/>
      <c r="HVP15" s="64"/>
      <c r="HVQ15" s="64"/>
      <c r="HVR15" s="64"/>
      <c r="HVS15" s="64"/>
      <c r="HVT15" s="64"/>
      <c r="HVU15" s="64"/>
      <c r="HVV15" s="64"/>
      <c r="HVW15" s="64"/>
      <c r="HVX15" s="64"/>
      <c r="HVY15" s="64"/>
      <c r="HVZ15" s="64"/>
      <c r="HWA15" s="64"/>
      <c r="HWB15" s="64"/>
      <c r="HWC15" s="64"/>
      <c r="HWD15" s="64"/>
      <c r="HWE15" s="64"/>
      <c r="HWF15" s="64"/>
      <c r="HWG15" s="64"/>
      <c r="HWH15" s="64"/>
      <c r="HWI15" s="64"/>
      <c r="HWJ15" s="64"/>
      <c r="HWK15" s="64"/>
      <c r="HWL15" s="64"/>
      <c r="HWM15" s="64"/>
      <c r="HWN15" s="64"/>
      <c r="HWO15" s="64"/>
      <c r="HWP15" s="64"/>
      <c r="HWQ15" s="64"/>
      <c r="HWR15" s="64"/>
      <c r="HWS15" s="64"/>
      <c r="HWT15" s="64"/>
      <c r="HWU15" s="64"/>
      <c r="HWV15" s="64"/>
      <c r="HWW15" s="64"/>
      <c r="HWX15" s="64"/>
      <c r="HWY15" s="64"/>
      <c r="HWZ15" s="64"/>
      <c r="HXA15" s="64"/>
      <c r="HXB15" s="64"/>
      <c r="HXC15" s="64"/>
      <c r="HXD15" s="64"/>
      <c r="HXE15" s="64"/>
      <c r="HXF15" s="64"/>
      <c r="HXG15" s="64"/>
      <c r="HXH15" s="64"/>
      <c r="HXI15" s="64"/>
      <c r="HXJ15" s="64"/>
      <c r="HXK15" s="64"/>
      <c r="HXL15" s="64"/>
      <c r="HXM15" s="64"/>
      <c r="HXN15" s="64"/>
      <c r="HXO15" s="64"/>
      <c r="HXP15" s="64"/>
      <c r="HXQ15" s="64"/>
      <c r="HXR15" s="64"/>
      <c r="HXS15" s="64"/>
      <c r="HXT15" s="64"/>
      <c r="HXU15" s="64"/>
      <c r="HXV15" s="64"/>
      <c r="HXW15" s="64"/>
      <c r="HXX15" s="64"/>
      <c r="HXY15" s="64"/>
      <c r="HXZ15" s="64"/>
      <c r="HYA15" s="64"/>
      <c r="HYB15" s="64"/>
      <c r="HYC15" s="64"/>
      <c r="HYD15" s="64"/>
      <c r="HYE15" s="64"/>
      <c r="HYF15" s="64"/>
      <c r="HYG15" s="64"/>
      <c r="HYH15" s="64"/>
      <c r="HYI15" s="64"/>
      <c r="HYJ15" s="64"/>
      <c r="HYK15" s="64"/>
      <c r="HYL15" s="64"/>
      <c r="HYM15" s="64"/>
      <c r="HYN15" s="64"/>
      <c r="HYU15" s="64"/>
      <c r="HYV15" s="64"/>
      <c r="HYW15" s="64"/>
      <c r="HYX15" s="64"/>
      <c r="HYY15" s="64"/>
      <c r="HYZ15" s="64"/>
      <c r="HZA15" s="64"/>
      <c r="HZB15" s="64"/>
      <c r="HZC15" s="64"/>
      <c r="HZD15" s="64"/>
      <c r="HZE15" s="64"/>
      <c r="HZF15" s="64"/>
      <c r="HZG15" s="64"/>
      <c r="HZH15" s="64"/>
      <c r="HZI15" s="64"/>
      <c r="HZJ15" s="64"/>
      <c r="HZK15" s="64"/>
      <c r="HZL15" s="64"/>
      <c r="HZM15" s="64"/>
      <c r="HZN15" s="64"/>
      <c r="HZO15" s="64"/>
      <c r="HZP15" s="64"/>
      <c r="HZQ15" s="64"/>
      <c r="HZR15" s="64"/>
      <c r="HZS15" s="64"/>
      <c r="HZT15" s="64"/>
      <c r="HZU15" s="64"/>
      <c r="HZV15" s="64"/>
      <c r="HZW15" s="64"/>
      <c r="HZX15" s="64"/>
      <c r="HZY15" s="64"/>
      <c r="HZZ15" s="64"/>
      <c r="IAA15" s="64"/>
      <c r="IAB15" s="64"/>
      <c r="IAC15" s="64"/>
      <c r="IAD15" s="64"/>
      <c r="IAE15" s="64"/>
      <c r="IAF15" s="64"/>
      <c r="IAG15" s="64"/>
      <c r="IAH15" s="64"/>
      <c r="IAI15" s="64"/>
      <c r="IAJ15" s="64"/>
      <c r="IAK15" s="64"/>
      <c r="IAL15" s="64"/>
      <c r="IAM15" s="64"/>
      <c r="IAN15" s="64"/>
      <c r="IAO15" s="64"/>
      <c r="IAP15" s="64"/>
      <c r="IAQ15" s="64"/>
      <c r="IAR15" s="64"/>
      <c r="IAS15" s="64"/>
      <c r="IAT15" s="64"/>
      <c r="IAU15" s="64"/>
      <c r="IAV15" s="64"/>
      <c r="IAW15" s="64"/>
      <c r="IAX15" s="64"/>
      <c r="IAY15" s="64"/>
      <c r="IAZ15" s="64"/>
      <c r="IBA15" s="64"/>
      <c r="IBB15" s="64"/>
      <c r="IBC15" s="64"/>
      <c r="IBD15" s="64"/>
      <c r="IBE15" s="64"/>
      <c r="IBF15" s="64"/>
      <c r="IBG15" s="64"/>
      <c r="IBH15" s="64"/>
      <c r="IBI15" s="64"/>
      <c r="IBJ15" s="64"/>
      <c r="IBK15" s="64"/>
      <c r="IBL15" s="64"/>
      <c r="IBM15" s="64"/>
      <c r="IBN15" s="64"/>
      <c r="IBO15" s="64"/>
      <c r="IBP15" s="64"/>
      <c r="IBQ15" s="64"/>
      <c r="IBR15" s="64"/>
      <c r="IBS15" s="64"/>
      <c r="IBT15" s="64"/>
      <c r="IBU15" s="64"/>
      <c r="IBV15" s="64"/>
      <c r="IBW15" s="64"/>
      <c r="IBX15" s="64"/>
      <c r="IBY15" s="64"/>
      <c r="IBZ15" s="64"/>
      <c r="ICA15" s="64"/>
      <c r="ICB15" s="64"/>
      <c r="ICC15" s="64"/>
      <c r="ICD15" s="64"/>
      <c r="ICE15" s="64"/>
      <c r="ICF15" s="64"/>
      <c r="ICG15" s="64"/>
      <c r="ICH15" s="64"/>
      <c r="ICI15" s="64"/>
      <c r="ICJ15" s="64"/>
      <c r="ICK15" s="64"/>
      <c r="ICL15" s="64"/>
      <c r="ICM15" s="64"/>
      <c r="ICN15" s="64"/>
      <c r="ICO15" s="64"/>
      <c r="ICP15" s="64"/>
      <c r="ICQ15" s="64"/>
      <c r="ICR15" s="64"/>
      <c r="ICS15" s="64"/>
      <c r="ICT15" s="64"/>
      <c r="ICU15" s="64"/>
      <c r="ICV15" s="64"/>
      <c r="ICW15" s="64"/>
      <c r="ICX15" s="64"/>
      <c r="ICY15" s="64"/>
      <c r="ICZ15" s="64"/>
      <c r="IDA15" s="64"/>
      <c r="IDB15" s="64"/>
      <c r="IDC15" s="64"/>
      <c r="IDD15" s="64"/>
      <c r="IDE15" s="64"/>
      <c r="IDF15" s="64"/>
      <c r="IDG15" s="64"/>
      <c r="IDH15" s="64"/>
      <c r="IDI15" s="64"/>
      <c r="IDJ15" s="64"/>
      <c r="IDK15" s="64"/>
      <c r="IDL15" s="64"/>
      <c r="IDM15" s="64"/>
      <c r="IDN15" s="64"/>
      <c r="IDO15" s="64"/>
      <c r="IDP15" s="64"/>
      <c r="IDQ15" s="64"/>
      <c r="IDR15" s="64"/>
      <c r="IDS15" s="64"/>
      <c r="IDT15" s="64"/>
      <c r="IDU15" s="64"/>
      <c r="IDV15" s="64"/>
      <c r="IDW15" s="64"/>
      <c r="IDX15" s="64"/>
      <c r="IDY15" s="64"/>
      <c r="IDZ15" s="64"/>
      <c r="IEA15" s="64"/>
      <c r="IEB15" s="64"/>
      <c r="IEC15" s="64"/>
      <c r="IED15" s="64"/>
      <c r="IEE15" s="64"/>
      <c r="IEF15" s="64"/>
      <c r="IEG15" s="64"/>
      <c r="IEH15" s="64"/>
      <c r="IEI15" s="64"/>
      <c r="IEJ15" s="64"/>
      <c r="IEK15" s="64"/>
      <c r="IEL15" s="64"/>
      <c r="IEM15" s="64"/>
      <c r="IEN15" s="64"/>
      <c r="IEO15" s="64"/>
      <c r="IEP15" s="64"/>
      <c r="IEQ15" s="64"/>
      <c r="IER15" s="64"/>
      <c r="IES15" s="64"/>
      <c r="IET15" s="64"/>
      <c r="IEU15" s="64"/>
      <c r="IEV15" s="64"/>
      <c r="IEW15" s="64"/>
      <c r="IEX15" s="64"/>
      <c r="IEY15" s="64"/>
      <c r="IEZ15" s="64"/>
      <c r="IFA15" s="64"/>
      <c r="IFB15" s="64"/>
      <c r="IFC15" s="64"/>
      <c r="IFD15" s="64"/>
      <c r="IFE15" s="64"/>
      <c r="IFF15" s="64"/>
      <c r="IFG15" s="64"/>
      <c r="IFH15" s="64"/>
      <c r="IFI15" s="64"/>
      <c r="IFJ15" s="64"/>
      <c r="IFK15" s="64"/>
      <c r="IFL15" s="64"/>
      <c r="IFM15" s="64"/>
      <c r="IFN15" s="64"/>
      <c r="IFO15" s="64"/>
      <c r="IFP15" s="64"/>
      <c r="IFQ15" s="64"/>
      <c r="IFR15" s="64"/>
      <c r="IFS15" s="64"/>
      <c r="IFT15" s="64"/>
      <c r="IFU15" s="64"/>
      <c r="IFV15" s="64"/>
      <c r="IFW15" s="64"/>
      <c r="IFX15" s="64"/>
      <c r="IFY15" s="64"/>
      <c r="IFZ15" s="64"/>
      <c r="IGA15" s="64"/>
      <c r="IGB15" s="64"/>
      <c r="IGC15" s="64"/>
      <c r="IGD15" s="64"/>
      <c r="IGE15" s="64"/>
      <c r="IGF15" s="64"/>
      <c r="IGG15" s="64"/>
      <c r="IGH15" s="64"/>
      <c r="IGI15" s="64"/>
      <c r="IGJ15" s="64"/>
      <c r="IGK15" s="64"/>
      <c r="IGL15" s="64"/>
      <c r="IGM15" s="64"/>
      <c r="IGN15" s="64"/>
      <c r="IGO15" s="64"/>
      <c r="IGP15" s="64"/>
      <c r="IGQ15" s="64"/>
      <c r="IGR15" s="64"/>
      <c r="IGS15" s="64"/>
      <c r="IGT15" s="64"/>
      <c r="IGU15" s="64"/>
      <c r="IGV15" s="64"/>
      <c r="IGW15" s="64"/>
      <c r="IGX15" s="64"/>
      <c r="IGY15" s="64"/>
      <c r="IGZ15" s="64"/>
      <c r="IHA15" s="64"/>
      <c r="IHB15" s="64"/>
      <c r="IHC15" s="64"/>
      <c r="IHD15" s="64"/>
      <c r="IHE15" s="64"/>
      <c r="IHF15" s="64"/>
      <c r="IHG15" s="64"/>
      <c r="IHH15" s="64"/>
      <c r="IHI15" s="64"/>
      <c r="IHJ15" s="64"/>
      <c r="IHK15" s="64"/>
      <c r="IHL15" s="64"/>
      <c r="IHM15" s="64"/>
      <c r="IHN15" s="64"/>
      <c r="IHO15" s="64"/>
      <c r="IHP15" s="64"/>
      <c r="IHQ15" s="64"/>
      <c r="IHR15" s="64"/>
      <c r="IHS15" s="64"/>
      <c r="IHT15" s="64"/>
      <c r="IHU15" s="64"/>
      <c r="IHV15" s="64"/>
      <c r="IHW15" s="64"/>
      <c r="IHX15" s="64"/>
      <c r="IHY15" s="64"/>
      <c r="IHZ15" s="64"/>
      <c r="IIA15" s="64"/>
      <c r="IIB15" s="64"/>
      <c r="IIC15" s="64"/>
      <c r="IID15" s="64"/>
      <c r="IIE15" s="64"/>
      <c r="IIF15" s="64"/>
      <c r="IIG15" s="64"/>
      <c r="IIH15" s="64"/>
      <c r="III15" s="64"/>
      <c r="IIJ15" s="64"/>
      <c r="IIQ15" s="64"/>
      <c r="IIR15" s="64"/>
      <c r="IIS15" s="64"/>
      <c r="IIT15" s="64"/>
      <c r="IIU15" s="64"/>
      <c r="IIV15" s="64"/>
      <c r="IIW15" s="64"/>
      <c r="IIX15" s="64"/>
      <c r="IIY15" s="64"/>
      <c r="IIZ15" s="64"/>
      <c r="IJA15" s="64"/>
      <c r="IJB15" s="64"/>
      <c r="IJC15" s="64"/>
      <c r="IJD15" s="64"/>
      <c r="IJE15" s="64"/>
      <c r="IJF15" s="64"/>
      <c r="IJG15" s="64"/>
      <c r="IJH15" s="64"/>
      <c r="IJI15" s="64"/>
      <c r="IJJ15" s="64"/>
      <c r="IJK15" s="64"/>
      <c r="IJL15" s="64"/>
      <c r="IJM15" s="64"/>
      <c r="IJN15" s="64"/>
      <c r="IJO15" s="64"/>
      <c r="IJP15" s="64"/>
      <c r="IJQ15" s="64"/>
      <c r="IJR15" s="64"/>
      <c r="IJS15" s="64"/>
      <c r="IJT15" s="64"/>
      <c r="IJU15" s="64"/>
      <c r="IJV15" s="64"/>
      <c r="IJW15" s="64"/>
      <c r="IJX15" s="64"/>
      <c r="IJY15" s="64"/>
      <c r="IJZ15" s="64"/>
      <c r="IKA15" s="64"/>
      <c r="IKB15" s="64"/>
      <c r="IKC15" s="64"/>
      <c r="IKD15" s="64"/>
      <c r="IKE15" s="64"/>
      <c r="IKF15" s="64"/>
      <c r="IKG15" s="64"/>
      <c r="IKH15" s="64"/>
      <c r="IKI15" s="64"/>
      <c r="IKJ15" s="64"/>
      <c r="IKK15" s="64"/>
      <c r="IKL15" s="64"/>
      <c r="IKM15" s="64"/>
      <c r="IKN15" s="64"/>
      <c r="IKO15" s="64"/>
      <c r="IKP15" s="64"/>
      <c r="IKQ15" s="64"/>
      <c r="IKR15" s="64"/>
      <c r="IKS15" s="64"/>
      <c r="IKT15" s="64"/>
      <c r="IKU15" s="64"/>
      <c r="IKV15" s="64"/>
      <c r="IKW15" s="64"/>
      <c r="IKX15" s="64"/>
      <c r="IKY15" s="64"/>
      <c r="IKZ15" s="64"/>
      <c r="ILA15" s="64"/>
      <c r="ILB15" s="64"/>
      <c r="ILC15" s="64"/>
      <c r="ILD15" s="64"/>
      <c r="ILE15" s="64"/>
      <c r="ILF15" s="64"/>
      <c r="ILG15" s="64"/>
      <c r="ILH15" s="64"/>
      <c r="ILI15" s="64"/>
      <c r="ILJ15" s="64"/>
      <c r="ILK15" s="64"/>
      <c r="ILL15" s="64"/>
      <c r="ILM15" s="64"/>
      <c r="ILN15" s="64"/>
      <c r="ILO15" s="64"/>
      <c r="ILP15" s="64"/>
      <c r="ILQ15" s="64"/>
      <c r="ILR15" s="64"/>
      <c r="ILS15" s="64"/>
      <c r="ILT15" s="64"/>
      <c r="ILU15" s="64"/>
      <c r="ILV15" s="64"/>
      <c r="ILW15" s="64"/>
      <c r="ILX15" s="64"/>
      <c r="ILY15" s="64"/>
      <c r="ILZ15" s="64"/>
      <c r="IMA15" s="64"/>
      <c r="IMB15" s="64"/>
      <c r="IMC15" s="64"/>
      <c r="IMD15" s="64"/>
      <c r="IME15" s="64"/>
      <c r="IMF15" s="64"/>
      <c r="IMG15" s="64"/>
      <c r="IMH15" s="64"/>
      <c r="IMI15" s="64"/>
      <c r="IMJ15" s="64"/>
      <c r="IMK15" s="64"/>
      <c r="IML15" s="64"/>
      <c r="IMM15" s="64"/>
      <c r="IMN15" s="64"/>
      <c r="IMO15" s="64"/>
      <c r="IMP15" s="64"/>
      <c r="IMQ15" s="64"/>
      <c r="IMR15" s="64"/>
      <c r="IMS15" s="64"/>
      <c r="IMT15" s="64"/>
      <c r="IMU15" s="64"/>
      <c r="IMV15" s="64"/>
      <c r="IMW15" s="64"/>
      <c r="IMX15" s="64"/>
      <c r="IMY15" s="64"/>
      <c r="IMZ15" s="64"/>
      <c r="INA15" s="64"/>
      <c r="INB15" s="64"/>
      <c r="INC15" s="64"/>
      <c r="IND15" s="64"/>
      <c r="INE15" s="64"/>
      <c r="INF15" s="64"/>
      <c r="ING15" s="64"/>
      <c r="INH15" s="64"/>
      <c r="INI15" s="64"/>
      <c r="INJ15" s="64"/>
      <c r="INK15" s="64"/>
      <c r="INL15" s="64"/>
      <c r="INM15" s="64"/>
      <c r="INN15" s="64"/>
      <c r="INO15" s="64"/>
      <c r="INP15" s="64"/>
      <c r="INQ15" s="64"/>
      <c r="INR15" s="64"/>
      <c r="INS15" s="64"/>
      <c r="INT15" s="64"/>
      <c r="INU15" s="64"/>
      <c r="INV15" s="64"/>
      <c r="INW15" s="64"/>
      <c r="INX15" s="64"/>
      <c r="INY15" s="64"/>
      <c r="INZ15" s="64"/>
      <c r="IOA15" s="64"/>
      <c r="IOB15" s="64"/>
      <c r="IOC15" s="64"/>
      <c r="IOD15" s="64"/>
      <c r="IOE15" s="64"/>
      <c r="IOF15" s="64"/>
      <c r="IOG15" s="64"/>
      <c r="IOH15" s="64"/>
      <c r="IOI15" s="64"/>
      <c r="IOJ15" s="64"/>
      <c r="IOK15" s="64"/>
      <c r="IOL15" s="64"/>
      <c r="IOM15" s="64"/>
      <c r="ION15" s="64"/>
      <c r="IOO15" s="64"/>
      <c r="IOP15" s="64"/>
      <c r="IOQ15" s="64"/>
      <c r="IOR15" s="64"/>
      <c r="IOS15" s="64"/>
      <c r="IOT15" s="64"/>
      <c r="IOU15" s="64"/>
      <c r="IOV15" s="64"/>
      <c r="IOW15" s="64"/>
      <c r="IOX15" s="64"/>
      <c r="IOY15" s="64"/>
      <c r="IOZ15" s="64"/>
      <c r="IPA15" s="64"/>
      <c r="IPB15" s="64"/>
      <c r="IPC15" s="64"/>
      <c r="IPD15" s="64"/>
      <c r="IPE15" s="64"/>
      <c r="IPF15" s="64"/>
      <c r="IPG15" s="64"/>
      <c r="IPH15" s="64"/>
      <c r="IPI15" s="64"/>
      <c r="IPJ15" s="64"/>
      <c r="IPK15" s="64"/>
      <c r="IPL15" s="64"/>
      <c r="IPM15" s="64"/>
      <c r="IPN15" s="64"/>
      <c r="IPO15" s="64"/>
      <c r="IPP15" s="64"/>
      <c r="IPQ15" s="64"/>
      <c r="IPR15" s="64"/>
      <c r="IPS15" s="64"/>
      <c r="IPT15" s="64"/>
      <c r="IPU15" s="64"/>
      <c r="IPV15" s="64"/>
      <c r="IPW15" s="64"/>
      <c r="IPX15" s="64"/>
      <c r="IPY15" s="64"/>
      <c r="IPZ15" s="64"/>
      <c r="IQA15" s="64"/>
      <c r="IQB15" s="64"/>
      <c r="IQC15" s="64"/>
      <c r="IQD15" s="64"/>
      <c r="IQE15" s="64"/>
      <c r="IQF15" s="64"/>
      <c r="IQG15" s="64"/>
      <c r="IQH15" s="64"/>
      <c r="IQI15" s="64"/>
      <c r="IQJ15" s="64"/>
      <c r="IQK15" s="64"/>
      <c r="IQL15" s="64"/>
      <c r="IQM15" s="64"/>
      <c r="IQN15" s="64"/>
      <c r="IQO15" s="64"/>
      <c r="IQP15" s="64"/>
      <c r="IQQ15" s="64"/>
      <c r="IQR15" s="64"/>
      <c r="IQS15" s="64"/>
      <c r="IQT15" s="64"/>
      <c r="IQU15" s="64"/>
      <c r="IQV15" s="64"/>
      <c r="IQW15" s="64"/>
      <c r="IQX15" s="64"/>
      <c r="IQY15" s="64"/>
      <c r="IQZ15" s="64"/>
      <c r="IRA15" s="64"/>
      <c r="IRB15" s="64"/>
      <c r="IRC15" s="64"/>
      <c r="IRD15" s="64"/>
      <c r="IRE15" s="64"/>
      <c r="IRF15" s="64"/>
      <c r="IRG15" s="64"/>
      <c r="IRH15" s="64"/>
      <c r="IRI15" s="64"/>
      <c r="IRJ15" s="64"/>
      <c r="IRK15" s="64"/>
      <c r="IRL15" s="64"/>
      <c r="IRM15" s="64"/>
      <c r="IRN15" s="64"/>
      <c r="IRO15" s="64"/>
      <c r="IRP15" s="64"/>
      <c r="IRQ15" s="64"/>
      <c r="IRR15" s="64"/>
      <c r="IRS15" s="64"/>
      <c r="IRT15" s="64"/>
      <c r="IRU15" s="64"/>
      <c r="IRV15" s="64"/>
      <c r="IRW15" s="64"/>
      <c r="IRX15" s="64"/>
      <c r="IRY15" s="64"/>
      <c r="IRZ15" s="64"/>
      <c r="ISA15" s="64"/>
      <c r="ISB15" s="64"/>
      <c r="ISC15" s="64"/>
      <c r="ISD15" s="64"/>
      <c r="ISE15" s="64"/>
      <c r="ISF15" s="64"/>
      <c r="ISM15" s="64"/>
      <c r="ISN15" s="64"/>
      <c r="ISO15" s="64"/>
      <c r="ISP15" s="64"/>
      <c r="ISQ15" s="64"/>
      <c r="ISR15" s="64"/>
      <c r="ISS15" s="64"/>
      <c r="IST15" s="64"/>
      <c r="ISU15" s="64"/>
      <c r="ISV15" s="64"/>
      <c r="ISW15" s="64"/>
      <c r="ISX15" s="64"/>
      <c r="ISY15" s="64"/>
      <c r="ISZ15" s="64"/>
      <c r="ITA15" s="64"/>
      <c r="ITB15" s="64"/>
      <c r="ITC15" s="64"/>
      <c r="ITD15" s="64"/>
      <c r="ITE15" s="64"/>
      <c r="ITF15" s="64"/>
      <c r="ITG15" s="64"/>
      <c r="ITH15" s="64"/>
      <c r="ITI15" s="64"/>
      <c r="ITJ15" s="64"/>
      <c r="ITK15" s="64"/>
      <c r="ITL15" s="64"/>
      <c r="ITM15" s="64"/>
      <c r="ITN15" s="64"/>
      <c r="ITO15" s="64"/>
      <c r="ITP15" s="64"/>
      <c r="ITQ15" s="64"/>
      <c r="ITR15" s="64"/>
      <c r="ITS15" s="64"/>
      <c r="ITT15" s="64"/>
      <c r="ITU15" s="64"/>
      <c r="ITV15" s="64"/>
      <c r="ITW15" s="64"/>
      <c r="ITX15" s="64"/>
      <c r="ITY15" s="64"/>
      <c r="ITZ15" s="64"/>
      <c r="IUA15" s="64"/>
      <c r="IUB15" s="64"/>
      <c r="IUC15" s="64"/>
      <c r="IUD15" s="64"/>
      <c r="IUE15" s="64"/>
      <c r="IUF15" s="64"/>
      <c r="IUG15" s="64"/>
      <c r="IUH15" s="64"/>
      <c r="IUI15" s="64"/>
      <c r="IUJ15" s="64"/>
      <c r="IUK15" s="64"/>
      <c r="IUL15" s="64"/>
      <c r="IUM15" s="64"/>
      <c r="IUN15" s="64"/>
      <c r="IUO15" s="64"/>
      <c r="IUP15" s="64"/>
      <c r="IUQ15" s="64"/>
      <c r="IUR15" s="64"/>
      <c r="IUS15" s="64"/>
      <c r="IUT15" s="64"/>
      <c r="IUU15" s="64"/>
      <c r="IUV15" s="64"/>
      <c r="IUW15" s="64"/>
      <c r="IUX15" s="64"/>
      <c r="IUY15" s="64"/>
      <c r="IUZ15" s="64"/>
      <c r="IVA15" s="64"/>
      <c r="IVB15" s="64"/>
      <c r="IVC15" s="64"/>
      <c r="IVD15" s="64"/>
      <c r="IVE15" s="64"/>
      <c r="IVF15" s="64"/>
      <c r="IVG15" s="64"/>
      <c r="IVH15" s="64"/>
      <c r="IVI15" s="64"/>
      <c r="IVJ15" s="64"/>
      <c r="IVK15" s="64"/>
      <c r="IVL15" s="64"/>
      <c r="IVM15" s="64"/>
      <c r="IVN15" s="64"/>
      <c r="IVO15" s="64"/>
      <c r="IVP15" s="64"/>
      <c r="IVQ15" s="64"/>
      <c r="IVR15" s="64"/>
      <c r="IVS15" s="64"/>
      <c r="IVT15" s="64"/>
      <c r="IVU15" s="64"/>
      <c r="IVV15" s="64"/>
      <c r="IVW15" s="64"/>
      <c r="IVX15" s="64"/>
      <c r="IVY15" s="64"/>
      <c r="IVZ15" s="64"/>
      <c r="IWA15" s="64"/>
      <c r="IWB15" s="64"/>
      <c r="IWC15" s="64"/>
      <c r="IWD15" s="64"/>
      <c r="IWE15" s="64"/>
      <c r="IWF15" s="64"/>
      <c r="IWG15" s="64"/>
      <c r="IWH15" s="64"/>
      <c r="IWI15" s="64"/>
      <c r="IWJ15" s="64"/>
      <c r="IWK15" s="64"/>
      <c r="IWL15" s="64"/>
      <c r="IWM15" s="64"/>
      <c r="IWN15" s="64"/>
      <c r="IWO15" s="64"/>
      <c r="IWP15" s="64"/>
      <c r="IWQ15" s="64"/>
      <c r="IWR15" s="64"/>
      <c r="IWS15" s="64"/>
      <c r="IWT15" s="64"/>
      <c r="IWU15" s="64"/>
      <c r="IWV15" s="64"/>
      <c r="IWW15" s="64"/>
      <c r="IWX15" s="64"/>
      <c r="IWY15" s="64"/>
      <c r="IWZ15" s="64"/>
      <c r="IXA15" s="64"/>
      <c r="IXB15" s="64"/>
      <c r="IXC15" s="64"/>
      <c r="IXD15" s="64"/>
      <c r="IXE15" s="64"/>
      <c r="IXF15" s="64"/>
      <c r="IXG15" s="64"/>
      <c r="IXH15" s="64"/>
      <c r="IXI15" s="64"/>
      <c r="IXJ15" s="64"/>
      <c r="IXK15" s="64"/>
      <c r="IXL15" s="64"/>
      <c r="IXM15" s="64"/>
      <c r="IXN15" s="64"/>
      <c r="IXO15" s="64"/>
      <c r="IXP15" s="64"/>
      <c r="IXQ15" s="64"/>
      <c r="IXR15" s="64"/>
      <c r="IXS15" s="64"/>
      <c r="IXT15" s="64"/>
      <c r="IXU15" s="64"/>
      <c r="IXV15" s="64"/>
      <c r="IXW15" s="64"/>
      <c r="IXX15" s="64"/>
      <c r="IXY15" s="64"/>
      <c r="IXZ15" s="64"/>
      <c r="IYA15" s="64"/>
      <c r="IYB15" s="64"/>
      <c r="IYC15" s="64"/>
      <c r="IYD15" s="64"/>
      <c r="IYE15" s="64"/>
      <c r="IYF15" s="64"/>
      <c r="IYG15" s="64"/>
      <c r="IYH15" s="64"/>
      <c r="IYI15" s="64"/>
      <c r="IYJ15" s="64"/>
      <c r="IYK15" s="64"/>
      <c r="IYL15" s="64"/>
      <c r="IYM15" s="64"/>
      <c r="IYN15" s="64"/>
      <c r="IYO15" s="64"/>
      <c r="IYP15" s="64"/>
      <c r="IYQ15" s="64"/>
      <c r="IYR15" s="64"/>
      <c r="IYS15" s="64"/>
      <c r="IYT15" s="64"/>
      <c r="IYU15" s="64"/>
      <c r="IYV15" s="64"/>
      <c r="IYW15" s="64"/>
      <c r="IYX15" s="64"/>
      <c r="IYY15" s="64"/>
      <c r="IYZ15" s="64"/>
      <c r="IZA15" s="64"/>
      <c r="IZB15" s="64"/>
      <c r="IZC15" s="64"/>
      <c r="IZD15" s="64"/>
      <c r="IZE15" s="64"/>
      <c r="IZF15" s="64"/>
      <c r="IZG15" s="64"/>
      <c r="IZH15" s="64"/>
      <c r="IZI15" s="64"/>
      <c r="IZJ15" s="64"/>
      <c r="IZK15" s="64"/>
      <c r="IZL15" s="64"/>
      <c r="IZM15" s="64"/>
      <c r="IZN15" s="64"/>
      <c r="IZO15" s="64"/>
      <c r="IZP15" s="64"/>
      <c r="IZQ15" s="64"/>
      <c r="IZR15" s="64"/>
      <c r="IZS15" s="64"/>
      <c r="IZT15" s="64"/>
      <c r="IZU15" s="64"/>
      <c r="IZV15" s="64"/>
      <c r="IZW15" s="64"/>
      <c r="IZX15" s="64"/>
      <c r="IZY15" s="64"/>
      <c r="IZZ15" s="64"/>
      <c r="JAA15" s="64"/>
      <c r="JAB15" s="64"/>
      <c r="JAC15" s="64"/>
      <c r="JAD15" s="64"/>
      <c r="JAE15" s="64"/>
      <c r="JAF15" s="64"/>
      <c r="JAG15" s="64"/>
      <c r="JAH15" s="64"/>
      <c r="JAI15" s="64"/>
      <c r="JAJ15" s="64"/>
      <c r="JAK15" s="64"/>
      <c r="JAL15" s="64"/>
      <c r="JAM15" s="64"/>
      <c r="JAN15" s="64"/>
      <c r="JAO15" s="64"/>
      <c r="JAP15" s="64"/>
      <c r="JAQ15" s="64"/>
      <c r="JAR15" s="64"/>
      <c r="JAS15" s="64"/>
      <c r="JAT15" s="64"/>
      <c r="JAU15" s="64"/>
      <c r="JAV15" s="64"/>
      <c r="JAW15" s="64"/>
      <c r="JAX15" s="64"/>
      <c r="JAY15" s="64"/>
      <c r="JAZ15" s="64"/>
      <c r="JBA15" s="64"/>
      <c r="JBB15" s="64"/>
      <c r="JBC15" s="64"/>
      <c r="JBD15" s="64"/>
      <c r="JBE15" s="64"/>
      <c r="JBF15" s="64"/>
      <c r="JBG15" s="64"/>
      <c r="JBH15" s="64"/>
      <c r="JBI15" s="64"/>
      <c r="JBJ15" s="64"/>
      <c r="JBK15" s="64"/>
      <c r="JBL15" s="64"/>
      <c r="JBM15" s="64"/>
      <c r="JBN15" s="64"/>
      <c r="JBO15" s="64"/>
      <c r="JBP15" s="64"/>
      <c r="JBQ15" s="64"/>
      <c r="JBR15" s="64"/>
      <c r="JBS15" s="64"/>
      <c r="JBT15" s="64"/>
      <c r="JBU15" s="64"/>
      <c r="JBV15" s="64"/>
      <c r="JBW15" s="64"/>
      <c r="JBX15" s="64"/>
      <c r="JBY15" s="64"/>
      <c r="JBZ15" s="64"/>
      <c r="JCA15" s="64"/>
      <c r="JCB15" s="64"/>
      <c r="JCI15" s="64"/>
      <c r="JCJ15" s="64"/>
      <c r="JCK15" s="64"/>
      <c r="JCL15" s="64"/>
      <c r="JCM15" s="64"/>
      <c r="JCN15" s="64"/>
      <c r="JCO15" s="64"/>
      <c r="JCP15" s="64"/>
      <c r="JCQ15" s="64"/>
      <c r="JCR15" s="64"/>
      <c r="JCS15" s="64"/>
      <c r="JCT15" s="64"/>
      <c r="JCU15" s="64"/>
      <c r="JCV15" s="64"/>
      <c r="JCW15" s="64"/>
      <c r="JCX15" s="64"/>
      <c r="JCY15" s="64"/>
      <c r="JCZ15" s="64"/>
      <c r="JDA15" s="64"/>
      <c r="JDB15" s="64"/>
      <c r="JDC15" s="64"/>
      <c r="JDD15" s="64"/>
      <c r="JDE15" s="64"/>
      <c r="JDF15" s="64"/>
      <c r="JDG15" s="64"/>
      <c r="JDH15" s="64"/>
      <c r="JDI15" s="64"/>
      <c r="JDJ15" s="64"/>
      <c r="JDK15" s="64"/>
      <c r="JDL15" s="64"/>
      <c r="JDM15" s="64"/>
      <c r="JDN15" s="64"/>
      <c r="JDO15" s="64"/>
      <c r="JDP15" s="64"/>
      <c r="JDQ15" s="64"/>
      <c r="JDR15" s="64"/>
      <c r="JDS15" s="64"/>
      <c r="JDT15" s="64"/>
      <c r="JDU15" s="64"/>
      <c r="JDV15" s="64"/>
      <c r="JDW15" s="64"/>
      <c r="JDX15" s="64"/>
      <c r="JDY15" s="64"/>
      <c r="JDZ15" s="64"/>
      <c r="JEA15" s="64"/>
      <c r="JEB15" s="64"/>
      <c r="JEC15" s="64"/>
      <c r="JED15" s="64"/>
      <c r="JEE15" s="64"/>
      <c r="JEF15" s="64"/>
      <c r="JEG15" s="64"/>
      <c r="JEH15" s="64"/>
      <c r="JEI15" s="64"/>
      <c r="JEJ15" s="64"/>
      <c r="JEK15" s="64"/>
      <c r="JEL15" s="64"/>
      <c r="JEM15" s="64"/>
      <c r="JEN15" s="64"/>
      <c r="JEO15" s="64"/>
      <c r="JEP15" s="64"/>
      <c r="JEQ15" s="64"/>
      <c r="JER15" s="64"/>
      <c r="JES15" s="64"/>
      <c r="JET15" s="64"/>
      <c r="JEU15" s="64"/>
      <c r="JEV15" s="64"/>
      <c r="JEW15" s="64"/>
      <c r="JEX15" s="64"/>
      <c r="JEY15" s="64"/>
      <c r="JEZ15" s="64"/>
      <c r="JFA15" s="64"/>
      <c r="JFB15" s="64"/>
      <c r="JFC15" s="64"/>
      <c r="JFD15" s="64"/>
      <c r="JFE15" s="64"/>
      <c r="JFF15" s="64"/>
      <c r="JFG15" s="64"/>
      <c r="JFH15" s="64"/>
      <c r="JFI15" s="64"/>
      <c r="JFJ15" s="64"/>
      <c r="JFK15" s="64"/>
      <c r="JFL15" s="64"/>
      <c r="JFM15" s="64"/>
      <c r="JFN15" s="64"/>
      <c r="JFO15" s="64"/>
      <c r="JFP15" s="64"/>
      <c r="JFQ15" s="64"/>
      <c r="JFR15" s="64"/>
      <c r="JFS15" s="64"/>
      <c r="JFT15" s="64"/>
      <c r="JFU15" s="64"/>
      <c r="JFV15" s="64"/>
      <c r="JFW15" s="64"/>
      <c r="JFX15" s="64"/>
      <c r="JFY15" s="64"/>
      <c r="JFZ15" s="64"/>
      <c r="JGA15" s="64"/>
      <c r="JGB15" s="64"/>
      <c r="JGC15" s="64"/>
      <c r="JGD15" s="64"/>
      <c r="JGE15" s="64"/>
      <c r="JGF15" s="64"/>
      <c r="JGG15" s="64"/>
      <c r="JGH15" s="64"/>
      <c r="JGI15" s="64"/>
      <c r="JGJ15" s="64"/>
      <c r="JGK15" s="64"/>
      <c r="JGL15" s="64"/>
      <c r="JGM15" s="64"/>
      <c r="JGN15" s="64"/>
      <c r="JGO15" s="64"/>
      <c r="JGP15" s="64"/>
      <c r="JGQ15" s="64"/>
      <c r="JGR15" s="64"/>
      <c r="JGS15" s="64"/>
      <c r="JGT15" s="64"/>
      <c r="JGU15" s="64"/>
      <c r="JGV15" s="64"/>
      <c r="JGW15" s="64"/>
      <c r="JGX15" s="64"/>
      <c r="JGY15" s="64"/>
      <c r="JGZ15" s="64"/>
      <c r="JHA15" s="64"/>
      <c r="JHB15" s="64"/>
      <c r="JHC15" s="64"/>
      <c r="JHD15" s="64"/>
      <c r="JHE15" s="64"/>
      <c r="JHF15" s="64"/>
      <c r="JHG15" s="64"/>
      <c r="JHH15" s="64"/>
      <c r="JHI15" s="64"/>
      <c r="JHJ15" s="64"/>
      <c r="JHK15" s="64"/>
      <c r="JHL15" s="64"/>
      <c r="JHM15" s="64"/>
      <c r="JHN15" s="64"/>
      <c r="JHO15" s="64"/>
      <c r="JHP15" s="64"/>
      <c r="JHQ15" s="64"/>
      <c r="JHR15" s="64"/>
      <c r="JHS15" s="64"/>
      <c r="JHT15" s="64"/>
      <c r="JHU15" s="64"/>
      <c r="JHV15" s="64"/>
      <c r="JHW15" s="64"/>
      <c r="JHX15" s="64"/>
      <c r="JHY15" s="64"/>
      <c r="JHZ15" s="64"/>
      <c r="JIA15" s="64"/>
      <c r="JIB15" s="64"/>
      <c r="JIC15" s="64"/>
      <c r="JID15" s="64"/>
      <c r="JIE15" s="64"/>
      <c r="JIF15" s="64"/>
      <c r="JIG15" s="64"/>
      <c r="JIH15" s="64"/>
      <c r="JII15" s="64"/>
      <c r="JIJ15" s="64"/>
      <c r="JIK15" s="64"/>
      <c r="JIL15" s="64"/>
      <c r="JIM15" s="64"/>
      <c r="JIN15" s="64"/>
      <c r="JIO15" s="64"/>
      <c r="JIP15" s="64"/>
      <c r="JIQ15" s="64"/>
      <c r="JIR15" s="64"/>
      <c r="JIS15" s="64"/>
      <c r="JIT15" s="64"/>
      <c r="JIU15" s="64"/>
      <c r="JIV15" s="64"/>
      <c r="JIW15" s="64"/>
      <c r="JIX15" s="64"/>
      <c r="JIY15" s="64"/>
      <c r="JIZ15" s="64"/>
      <c r="JJA15" s="64"/>
      <c r="JJB15" s="64"/>
      <c r="JJC15" s="64"/>
      <c r="JJD15" s="64"/>
      <c r="JJE15" s="64"/>
      <c r="JJF15" s="64"/>
      <c r="JJG15" s="64"/>
      <c r="JJH15" s="64"/>
      <c r="JJI15" s="64"/>
      <c r="JJJ15" s="64"/>
      <c r="JJK15" s="64"/>
      <c r="JJL15" s="64"/>
      <c r="JJM15" s="64"/>
      <c r="JJN15" s="64"/>
      <c r="JJO15" s="64"/>
      <c r="JJP15" s="64"/>
      <c r="JJQ15" s="64"/>
      <c r="JJR15" s="64"/>
      <c r="JJS15" s="64"/>
      <c r="JJT15" s="64"/>
      <c r="JJU15" s="64"/>
      <c r="JJV15" s="64"/>
      <c r="JJW15" s="64"/>
      <c r="JJX15" s="64"/>
      <c r="JJY15" s="64"/>
      <c r="JJZ15" s="64"/>
      <c r="JKA15" s="64"/>
      <c r="JKB15" s="64"/>
      <c r="JKC15" s="64"/>
      <c r="JKD15" s="64"/>
      <c r="JKE15" s="64"/>
      <c r="JKF15" s="64"/>
      <c r="JKG15" s="64"/>
      <c r="JKH15" s="64"/>
      <c r="JKI15" s="64"/>
      <c r="JKJ15" s="64"/>
      <c r="JKK15" s="64"/>
      <c r="JKL15" s="64"/>
      <c r="JKM15" s="64"/>
      <c r="JKN15" s="64"/>
      <c r="JKO15" s="64"/>
      <c r="JKP15" s="64"/>
      <c r="JKQ15" s="64"/>
      <c r="JKR15" s="64"/>
      <c r="JKS15" s="64"/>
      <c r="JKT15" s="64"/>
      <c r="JKU15" s="64"/>
      <c r="JKV15" s="64"/>
      <c r="JKW15" s="64"/>
      <c r="JKX15" s="64"/>
      <c r="JKY15" s="64"/>
      <c r="JKZ15" s="64"/>
      <c r="JLA15" s="64"/>
      <c r="JLB15" s="64"/>
      <c r="JLC15" s="64"/>
      <c r="JLD15" s="64"/>
      <c r="JLE15" s="64"/>
      <c r="JLF15" s="64"/>
      <c r="JLG15" s="64"/>
      <c r="JLH15" s="64"/>
      <c r="JLI15" s="64"/>
      <c r="JLJ15" s="64"/>
      <c r="JLK15" s="64"/>
      <c r="JLL15" s="64"/>
      <c r="JLM15" s="64"/>
      <c r="JLN15" s="64"/>
      <c r="JLO15" s="64"/>
      <c r="JLP15" s="64"/>
      <c r="JLQ15" s="64"/>
      <c r="JLR15" s="64"/>
      <c r="JLS15" s="64"/>
      <c r="JLT15" s="64"/>
      <c r="JLU15" s="64"/>
      <c r="JLV15" s="64"/>
      <c r="JLW15" s="64"/>
      <c r="JLX15" s="64"/>
      <c r="JME15" s="64"/>
      <c r="JMF15" s="64"/>
      <c r="JMG15" s="64"/>
      <c r="JMH15" s="64"/>
      <c r="JMI15" s="64"/>
      <c r="JMJ15" s="64"/>
      <c r="JMK15" s="64"/>
      <c r="JML15" s="64"/>
      <c r="JMM15" s="64"/>
      <c r="JMN15" s="64"/>
      <c r="JMO15" s="64"/>
      <c r="JMP15" s="64"/>
      <c r="JMQ15" s="64"/>
      <c r="JMR15" s="64"/>
      <c r="JMS15" s="64"/>
      <c r="JMT15" s="64"/>
      <c r="JMU15" s="64"/>
      <c r="JMV15" s="64"/>
      <c r="JMW15" s="64"/>
      <c r="JMX15" s="64"/>
      <c r="JMY15" s="64"/>
      <c r="JMZ15" s="64"/>
      <c r="JNA15" s="64"/>
      <c r="JNB15" s="64"/>
      <c r="JNC15" s="64"/>
      <c r="JND15" s="64"/>
      <c r="JNE15" s="64"/>
      <c r="JNF15" s="64"/>
      <c r="JNG15" s="64"/>
      <c r="JNH15" s="64"/>
      <c r="JNI15" s="64"/>
      <c r="JNJ15" s="64"/>
      <c r="JNK15" s="64"/>
      <c r="JNL15" s="64"/>
      <c r="JNM15" s="64"/>
      <c r="JNN15" s="64"/>
      <c r="JNO15" s="64"/>
      <c r="JNP15" s="64"/>
      <c r="JNQ15" s="64"/>
      <c r="JNR15" s="64"/>
      <c r="JNS15" s="64"/>
      <c r="JNT15" s="64"/>
      <c r="JNU15" s="64"/>
      <c r="JNV15" s="64"/>
      <c r="JNW15" s="64"/>
      <c r="JNX15" s="64"/>
      <c r="JNY15" s="64"/>
      <c r="JNZ15" s="64"/>
      <c r="JOA15" s="64"/>
      <c r="JOB15" s="64"/>
      <c r="JOC15" s="64"/>
      <c r="JOD15" s="64"/>
      <c r="JOE15" s="64"/>
      <c r="JOF15" s="64"/>
      <c r="JOG15" s="64"/>
      <c r="JOH15" s="64"/>
      <c r="JOI15" s="64"/>
      <c r="JOJ15" s="64"/>
      <c r="JOK15" s="64"/>
      <c r="JOL15" s="64"/>
      <c r="JOM15" s="64"/>
      <c r="JON15" s="64"/>
      <c r="JOO15" s="64"/>
      <c r="JOP15" s="64"/>
      <c r="JOQ15" s="64"/>
      <c r="JOR15" s="64"/>
      <c r="JOS15" s="64"/>
      <c r="JOT15" s="64"/>
      <c r="JOU15" s="64"/>
      <c r="JOV15" s="64"/>
      <c r="JOW15" s="64"/>
      <c r="JOX15" s="64"/>
      <c r="JOY15" s="64"/>
      <c r="JOZ15" s="64"/>
      <c r="JPA15" s="64"/>
      <c r="JPB15" s="64"/>
      <c r="JPC15" s="64"/>
      <c r="JPD15" s="64"/>
      <c r="JPE15" s="64"/>
      <c r="JPF15" s="64"/>
      <c r="JPG15" s="64"/>
      <c r="JPH15" s="64"/>
      <c r="JPI15" s="64"/>
      <c r="JPJ15" s="64"/>
      <c r="JPK15" s="64"/>
      <c r="JPL15" s="64"/>
      <c r="JPM15" s="64"/>
      <c r="JPN15" s="64"/>
      <c r="JPO15" s="64"/>
      <c r="JPP15" s="64"/>
      <c r="JPQ15" s="64"/>
      <c r="JPR15" s="64"/>
      <c r="JPS15" s="64"/>
      <c r="JPT15" s="64"/>
      <c r="JPU15" s="64"/>
      <c r="JPV15" s="64"/>
      <c r="JPW15" s="64"/>
      <c r="JPX15" s="64"/>
      <c r="JPY15" s="64"/>
      <c r="JPZ15" s="64"/>
      <c r="JQA15" s="64"/>
      <c r="JQB15" s="64"/>
      <c r="JQC15" s="64"/>
      <c r="JQD15" s="64"/>
      <c r="JQE15" s="64"/>
      <c r="JQF15" s="64"/>
      <c r="JQG15" s="64"/>
      <c r="JQH15" s="64"/>
      <c r="JQI15" s="64"/>
      <c r="JQJ15" s="64"/>
      <c r="JQK15" s="64"/>
      <c r="JQL15" s="64"/>
      <c r="JQM15" s="64"/>
      <c r="JQN15" s="64"/>
      <c r="JQO15" s="64"/>
      <c r="JQP15" s="64"/>
      <c r="JQQ15" s="64"/>
      <c r="JQR15" s="64"/>
      <c r="JQS15" s="64"/>
      <c r="JQT15" s="64"/>
      <c r="JQU15" s="64"/>
      <c r="JQV15" s="64"/>
      <c r="JQW15" s="64"/>
      <c r="JQX15" s="64"/>
      <c r="JQY15" s="64"/>
      <c r="JQZ15" s="64"/>
      <c r="JRA15" s="64"/>
      <c r="JRB15" s="64"/>
      <c r="JRC15" s="64"/>
      <c r="JRD15" s="64"/>
      <c r="JRE15" s="64"/>
      <c r="JRF15" s="64"/>
      <c r="JRG15" s="64"/>
      <c r="JRH15" s="64"/>
      <c r="JRI15" s="64"/>
      <c r="JRJ15" s="64"/>
      <c r="JRK15" s="64"/>
      <c r="JRL15" s="64"/>
      <c r="JRM15" s="64"/>
      <c r="JRN15" s="64"/>
      <c r="JRO15" s="64"/>
      <c r="JRP15" s="64"/>
      <c r="JRQ15" s="64"/>
      <c r="JRR15" s="64"/>
      <c r="JRS15" s="64"/>
      <c r="JRT15" s="64"/>
      <c r="JRU15" s="64"/>
      <c r="JRV15" s="64"/>
      <c r="JRW15" s="64"/>
      <c r="JRX15" s="64"/>
      <c r="JRY15" s="64"/>
      <c r="JRZ15" s="64"/>
      <c r="JSA15" s="64"/>
      <c r="JSB15" s="64"/>
      <c r="JSC15" s="64"/>
      <c r="JSD15" s="64"/>
      <c r="JSE15" s="64"/>
      <c r="JSF15" s="64"/>
      <c r="JSG15" s="64"/>
      <c r="JSH15" s="64"/>
      <c r="JSI15" s="64"/>
      <c r="JSJ15" s="64"/>
      <c r="JSK15" s="64"/>
      <c r="JSL15" s="64"/>
      <c r="JSM15" s="64"/>
      <c r="JSN15" s="64"/>
      <c r="JSO15" s="64"/>
      <c r="JSP15" s="64"/>
      <c r="JSQ15" s="64"/>
      <c r="JSR15" s="64"/>
      <c r="JSS15" s="64"/>
      <c r="JST15" s="64"/>
      <c r="JSU15" s="64"/>
      <c r="JSV15" s="64"/>
      <c r="JSW15" s="64"/>
      <c r="JSX15" s="64"/>
      <c r="JSY15" s="64"/>
      <c r="JSZ15" s="64"/>
      <c r="JTA15" s="64"/>
      <c r="JTB15" s="64"/>
      <c r="JTC15" s="64"/>
      <c r="JTD15" s="64"/>
      <c r="JTE15" s="64"/>
      <c r="JTF15" s="64"/>
      <c r="JTG15" s="64"/>
      <c r="JTH15" s="64"/>
      <c r="JTI15" s="64"/>
      <c r="JTJ15" s="64"/>
      <c r="JTK15" s="64"/>
      <c r="JTL15" s="64"/>
      <c r="JTM15" s="64"/>
      <c r="JTN15" s="64"/>
      <c r="JTO15" s="64"/>
      <c r="JTP15" s="64"/>
      <c r="JTQ15" s="64"/>
      <c r="JTR15" s="64"/>
      <c r="JTS15" s="64"/>
      <c r="JTT15" s="64"/>
      <c r="JTU15" s="64"/>
      <c r="JTV15" s="64"/>
      <c r="JTW15" s="64"/>
      <c r="JTX15" s="64"/>
      <c r="JTY15" s="64"/>
      <c r="JTZ15" s="64"/>
      <c r="JUA15" s="64"/>
      <c r="JUB15" s="64"/>
      <c r="JUC15" s="64"/>
      <c r="JUD15" s="64"/>
      <c r="JUE15" s="64"/>
      <c r="JUF15" s="64"/>
      <c r="JUG15" s="64"/>
      <c r="JUH15" s="64"/>
      <c r="JUI15" s="64"/>
      <c r="JUJ15" s="64"/>
      <c r="JUK15" s="64"/>
      <c r="JUL15" s="64"/>
      <c r="JUM15" s="64"/>
      <c r="JUN15" s="64"/>
      <c r="JUO15" s="64"/>
      <c r="JUP15" s="64"/>
      <c r="JUQ15" s="64"/>
      <c r="JUR15" s="64"/>
      <c r="JUS15" s="64"/>
      <c r="JUT15" s="64"/>
      <c r="JUU15" s="64"/>
      <c r="JUV15" s="64"/>
      <c r="JUW15" s="64"/>
      <c r="JUX15" s="64"/>
      <c r="JUY15" s="64"/>
      <c r="JUZ15" s="64"/>
      <c r="JVA15" s="64"/>
      <c r="JVB15" s="64"/>
      <c r="JVC15" s="64"/>
      <c r="JVD15" s="64"/>
      <c r="JVE15" s="64"/>
      <c r="JVF15" s="64"/>
      <c r="JVG15" s="64"/>
      <c r="JVH15" s="64"/>
      <c r="JVI15" s="64"/>
      <c r="JVJ15" s="64"/>
      <c r="JVK15" s="64"/>
      <c r="JVL15" s="64"/>
      <c r="JVM15" s="64"/>
      <c r="JVN15" s="64"/>
      <c r="JVO15" s="64"/>
      <c r="JVP15" s="64"/>
      <c r="JVQ15" s="64"/>
      <c r="JVR15" s="64"/>
      <c r="JVS15" s="64"/>
      <c r="JVT15" s="64"/>
      <c r="JWA15" s="64"/>
      <c r="JWB15" s="64"/>
      <c r="JWC15" s="64"/>
      <c r="JWD15" s="64"/>
      <c r="JWE15" s="64"/>
      <c r="JWF15" s="64"/>
      <c r="JWG15" s="64"/>
      <c r="JWH15" s="64"/>
      <c r="JWI15" s="64"/>
      <c r="JWJ15" s="64"/>
      <c r="JWK15" s="64"/>
      <c r="JWL15" s="64"/>
      <c r="JWM15" s="64"/>
      <c r="JWN15" s="64"/>
      <c r="JWO15" s="64"/>
      <c r="JWP15" s="64"/>
      <c r="JWQ15" s="64"/>
      <c r="JWR15" s="64"/>
      <c r="JWS15" s="64"/>
      <c r="JWT15" s="64"/>
      <c r="JWU15" s="64"/>
      <c r="JWV15" s="64"/>
      <c r="JWW15" s="64"/>
      <c r="JWX15" s="64"/>
      <c r="JWY15" s="64"/>
      <c r="JWZ15" s="64"/>
      <c r="JXA15" s="64"/>
      <c r="JXB15" s="64"/>
      <c r="JXC15" s="64"/>
      <c r="JXD15" s="64"/>
      <c r="JXE15" s="64"/>
      <c r="JXF15" s="64"/>
      <c r="JXG15" s="64"/>
      <c r="JXH15" s="64"/>
      <c r="JXI15" s="64"/>
      <c r="JXJ15" s="64"/>
      <c r="JXK15" s="64"/>
      <c r="JXL15" s="64"/>
      <c r="JXM15" s="64"/>
      <c r="JXN15" s="64"/>
      <c r="JXO15" s="64"/>
      <c r="JXP15" s="64"/>
      <c r="JXQ15" s="64"/>
      <c r="JXR15" s="64"/>
      <c r="JXS15" s="64"/>
      <c r="JXT15" s="64"/>
      <c r="JXU15" s="64"/>
      <c r="JXV15" s="64"/>
      <c r="JXW15" s="64"/>
      <c r="JXX15" s="64"/>
      <c r="JXY15" s="64"/>
      <c r="JXZ15" s="64"/>
      <c r="JYA15" s="64"/>
      <c r="JYB15" s="64"/>
      <c r="JYC15" s="64"/>
      <c r="JYD15" s="64"/>
      <c r="JYE15" s="64"/>
      <c r="JYF15" s="64"/>
      <c r="JYG15" s="64"/>
      <c r="JYH15" s="64"/>
      <c r="JYI15" s="64"/>
      <c r="JYJ15" s="64"/>
      <c r="JYK15" s="64"/>
      <c r="JYL15" s="64"/>
      <c r="JYM15" s="64"/>
      <c r="JYN15" s="64"/>
      <c r="JYO15" s="64"/>
      <c r="JYP15" s="64"/>
      <c r="JYQ15" s="64"/>
      <c r="JYR15" s="64"/>
      <c r="JYS15" s="64"/>
      <c r="JYT15" s="64"/>
      <c r="JYU15" s="64"/>
      <c r="JYV15" s="64"/>
      <c r="JYW15" s="64"/>
      <c r="JYX15" s="64"/>
      <c r="JYY15" s="64"/>
      <c r="JYZ15" s="64"/>
      <c r="JZA15" s="64"/>
      <c r="JZB15" s="64"/>
      <c r="JZC15" s="64"/>
      <c r="JZD15" s="64"/>
      <c r="JZE15" s="64"/>
      <c r="JZF15" s="64"/>
      <c r="JZG15" s="64"/>
      <c r="JZH15" s="64"/>
      <c r="JZI15" s="64"/>
      <c r="JZJ15" s="64"/>
      <c r="JZK15" s="64"/>
      <c r="JZL15" s="64"/>
      <c r="JZM15" s="64"/>
      <c r="JZN15" s="64"/>
      <c r="JZO15" s="64"/>
      <c r="JZP15" s="64"/>
      <c r="JZQ15" s="64"/>
      <c r="JZR15" s="64"/>
      <c r="JZS15" s="64"/>
      <c r="JZT15" s="64"/>
      <c r="JZU15" s="64"/>
      <c r="JZV15" s="64"/>
      <c r="JZW15" s="64"/>
      <c r="JZX15" s="64"/>
      <c r="JZY15" s="64"/>
      <c r="JZZ15" s="64"/>
      <c r="KAA15" s="64"/>
      <c r="KAB15" s="64"/>
      <c r="KAC15" s="64"/>
      <c r="KAD15" s="64"/>
      <c r="KAE15" s="64"/>
      <c r="KAF15" s="64"/>
      <c r="KAG15" s="64"/>
      <c r="KAH15" s="64"/>
      <c r="KAI15" s="64"/>
      <c r="KAJ15" s="64"/>
      <c r="KAK15" s="64"/>
      <c r="KAL15" s="64"/>
      <c r="KAM15" s="64"/>
      <c r="KAN15" s="64"/>
      <c r="KAO15" s="64"/>
      <c r="KAP15" s="64"/>
      <c r="KAQ15" s="64"/>
      <c r="KAR15" s="64"/>
      <c r="KAS15" s="64"/>
      <c r="KAT15" s="64"/>
      <c r="KAU15" s="64"/>
      <c r="KAV15" s="64"/>
      <c r="KAW15" s="64"/>
      <c r="KAX15" s="64"/>
      <c r="KAY15" s="64"/>
      <c r="KAZ15" s="64"/>
      <c r="KBA15" s="64"/>
      <c r="KBB15" s="64"/>
      <c r="KBC15" s="64"/>
      <c r="KBD15" s="64"/>
      <c r="KBE15" s="64"/>
      <c r="KBF15" s="64"/>
      <c r="KBG15" s="64"/>
      <c r="KBH15" s="64"/>
      <c r="KBI15" s="64"/>
      <c r="KBJ15" s="64"/>
      <c r="KBK15" s="64"/>
      <c r="KBL15" s="64"/>
      <c r="KBM15" s="64"/>
      <c r="KBN15" s="64"/>
      <c r="KBO15" s="64"/>
      <c r="KBP15" s="64"/>
      <c r="KBQ15" s="64"/>
      <c r="KBR15" s="64"/>
      <c r="KBS15" s="64"/>
      <c r="KBT15" s="64"/>
      <c r="KBU15" s="64"/>
      <c r="KBV15" s="64"/>
      <c r="KBW15" s="64"/>
      <c r="KBX15" s="64"/>
      <c r="KBY15" s="64"/>
      <c r="KBZ15" s="64"/>
      <c r="KCA15" s="64"/>
      <c r="KCB15" s="64"/>
      <c r="KCC15" s="64"/>
      <c r="KCD15" s="64"/>
      <c r="KCE15" s="64"/>
      <c r="KCF15" s="64"/>
      <c r="KCG15" s="64"/>
      <c r="KCH15" s="64"/>
      <c r="KCI15" s="64"/>
      <c r="KCJ15" s="64"/>
      <c r="KCK15" s="64"/>
      <c r="KCL15" s="64"/>
      <c r="KCM15" s="64"/>
      <c r="KCN15" s="64"/>
      <c r="KCO15" s="64"/>
      <c r="KCP15" s="64"/>
      <c r="KCQ15" s="64"/>
      <c r="KCR15" s="64"/>
      <c r="KCS15" s="64"/>
      <c r="KCT15" s="64"/>
      <c r="KCU15" s="64"/>
      <c r="KCV15" s="64"/>
      <c r="KCW15" s="64"/>
      <c r="KCX15" s="64"/>
      <c r="KCY15" s="64"/>
      <c r="KCZ15" s="64"/>
      <c r="KDA15" s="64"/>
      <c r="KDB15" s="64"/>
      <c r="KDC15" s="64"/>
      <c r="KDD15" s="64"/>
      <c r="KDE15" s="64"/>
      <c r="KDF15" s="64"/>
      <c r="KDG15" s="64"/>
      <c r="KDH15" s="64"/>
      <c r="KDI15" s="64"/>
      <c r="KDJ15" s="64"/>
      <c r="KDK15" s="64"/>
      <c r="KDL15" s="64"/>
      <c r="KDM15" s="64"/>
      <c r="KDN15" s="64"/>
      <c r="KDO15" s="64"/>
      <c r="KDP15" s="64"/>
      <c r="KDQ15" s="64"/>
      <c r="KDR15" s="64"/>
      <c r="KDS15" s="64"/>
      <c r="KDT15" s="64"/>
      <c r="KDU15" s="64"/>
      <c r="KDV15" s="64"/>
      <c r="KDW15" s="64"/>
      <c r="KDX15" s="64"/>
      <c r="KDY15" s="64"/>
      <c r="KDZ15" s="64"/>
      <c r="KEA15" s="64"/>
      <c r="KEB15" s="64"/>
      <c r="KEC15" s="64"/>
      <c r="KED15" s="64"/>
      <c r="KEE15" s="64"/>
      <c r="KEF15" s="64"/>
      <c r="KEG15" s="64"/>
      <c r="KEH15" s="64"/>
      <c r="KEI15" s="64"/>
      <c r="KEJ15" s="64"/>
      <c r="KEK15" s="64"/>
      <c r="KEL15" s="64"/>
      <c r="KEM15" s="64"/>
      <c r="KEN15" s="64"/>
      <c r="KEO15" s="64"/>
      <c r="KEP15" s="64"/>
      <c r="KEQ15" s="64"/>
      <c r="KER15" s="64"/>
      <c r="KES15" s="64"/>
      <c r="KET15" s="64"/>
      <c r="KEU15" s="64"/>
      <c r="KEV15" s="64"/>
      <c r="KEW15" s="64"/>
      <c r="KEX15" s="64"/>
      <c r="KEY15" s="64"/>
      <c r="KEZ15" s="64"/>
      <c r="KFA15" s="64"/>
      <c r="KFB15" s="64"/>
      <c r="KFC15" s="64"/>
      <c r="KFD15" s="64"/>
      <c r="KFE15" s="64"/>
      <c r="KFF15" s="64"/>
      <c r="KFG15" s="64"/>
      <c r="KFH15" s="64"/>
      <c r="KFI15" s="64"/>
      <c r="KFJ15" s="64"/>
      <c r="KFK15" s="64"/>
      <c r="KFL15" s="64"/>
      <c r="KFM15" s="64"/>
      <c r="KFN15" s="64"/>
      <c r="KFO15" s="64"/>
      <c r="KFP15" s="64"/>
      <c r="KFW15" s="64"/>
      <c r="KFX15" s="64"/>
      <c r="KFY15" s="64"/>
      <c r="KFZ15" s="64"/>
      <c r="KGA15" s="64"/>
      <c r="KGB15" s="64"/>
      <c r="KGC15" s="64"/>
      <c r="KGD15" s="64"/>
      <c r="KGE15" s="64"/>
      <c r="KGF15" s="64"/>
      <c r="KGG15" s="64"/>
      <c r="KGH15" s="64"/>
      <c r="KGI15" s="64"/>
      <c r="KGJ15" s="64"/>
      <c r="KGK15" s="64"/>
      <c r="KGL15" s="64"/>
      <c r="KGM15" s="64"/>
      <c r="KGN15" s="64"/>
      <c r="KGO15" s="64"/>
      <c r="KGP15" s="64"/>
      <c r="KGQ15" s="64"/>
      <c r="KGR15" s="64"/>
      <c r="KGS15" s="64"/>
      <c r="KGT15" s="64"/>
      <c r="KGU15" s="64"/>
      <c r="KGV15" s="64"/>
      <c r="KGW15" s="64"/>
      <c r="KGX15" s="64"/>
      <c r="KGY15" s="64"/>
      <c r="KGZ15" s="64"/>
      <c r="KHA15" s="64"/>
      <c r="KHB15" s="64"/>
      <c r="KHC15" s="64"/>
      <c r="KHD15" s="64"/>
      <c r="KHE15" s="64"/>
      <c r="KHF15" s="64"/>
      <c r="KHG15" s="64"/>
      <c r="KHH15" s="64"/>
      <c r="KHI15" s="64"/>
      <c r="KHJ15" s="64"/>
      <c r="KHK15" s="64"/>
      <c r="KHL15" s="64"/>
      <c r="KHM15" s="64"/>
      <c r="KHN15" s="64"/>
      <c r="KHO15" s="64"/>
      <c r="KHP15" s="64"/>
      <c r="KHQ15" s="64"/>
      <c r="KHR15" s="64"/>
      <c r="KHS15" s="64"/>
      <c r="KHT15" s="64"/>
      <c r="KHU15" s="64"/>
      <c r="KHV15" s="64"/>
      <c r="KHW15" s="64"/>
      <c r="KHX15" s="64"/>
      <c r="KHY15" s="64"/>
      <c r="KHZ15" s="64"/>
      <c r="KIA15" s="64"/>
      <c r="KIB15" s="64"/>
      <c r="KIC15" s="64"/>
      <c r="KID15" s="64"/>
      <c r="KIE15" s="64"/>
      <c r="KIF15" s="64"/>
      <c r="KIG15" s="64"/>
      <c r="KIH15" s="64"/>
      <c r="KII15" s="64"/>
      <c r="KIJ15" s="64"/>
      <c r="KIK15" s="64"/>
      <c r="KIL15" s="64"/>
      <c r="KIM15" s="64"/>
      <c r="KIN15" s="64"/>
      <c r="KIO15" s="64"/>
      <c r="KIP15" s="64"/>
      <c r="KIQ15" s="64"/>
      <c r="KIR15" s="64"/>
      <c r="KIS15" s="64"/>
      <c r="KIT15" s="64"/>
      <c r="KIU15" s="64"/>
      <c r="KIV15" s="64"/>
      <c r="KIW15" s="64"/>
      <c r="KIX15" s="64"/>
      <c r="KIY15" s="64"/>
      <c r="KIZ15" s="64"/>
      <c r="KJA15" s="64"/>
      <c r="KJB15" s="64"/>
      <c r="KJC15" s="64"/>
      <c r="KJD15" s="64"/>
      <c r="KJE15" s="64"/>
      <c r="KJF15" s="64"/>
      <c r="KJG15" s="64"/>
      <c r="KJH15" s="64"/>
      <c r="KJI15" s="64"/>
      <c r="KJJ15" s="64"/>
      <c r="KJK15" s="64"/>
      <c r="KJL15" s="64"/>
      <c r="KJM15" s="64"/>
      <c r="KJN15" s="64"/>
      <c r="KJO15" s="64"/>
      <c r="KJP15" s="64"/>
      <c r="KJQ15" s="64"/>
      <c r="KJR15" s="64"/>
      <c r="KJS15" s="64"/>
      <c r="KJT15" s="64"/>
      <c r="KJU15" s="64"/>
      <c r="KJV15" s="64"/>
      <c r="KJW15" s="64"/>
      <c r="KJX15" s="64"/>
      <c r="KJY15" s="64"/>
      <c r="KJZ15" s="64"/>
      <c r="KKA15" s="64"/>
      <c r="KKB15" s="64"/>
      <c r="KKC15" s="64"/>
      <c r="KKD15" s="64"/>
      <c r="KKE15" s="64"/>
      <c r="KKF15" s="64"/>
      <c r="KKG15" s="64"/>
      <c r="KKH15" s="64"/>
      <c r="KKI15" s="64"/>
      <c r="KKJ15" s="64"/>
      <c r="KKK15" s="64"/>
      <c r="KKL15" s="64"/>
      <c r="KKM15" s="64"/>
      <c r="KKN15" s="64"/>
      <c r="KKO15" s="64"/>
      <c r="KKP15" s="64"/>
      <c r="KKQ15" s="64"/>
      <c r="KKR15" s="64"/>
      <c r="KKS15" s="64"/>
      <c r="KKT15" s="64"/>
      <c r="KKU15" s="64"/>
      <c r="KKV15" s="64"/>
      <c r="KKW15" s="64"/>
      <c r="KKX15" s="64"/>
      <c r="KKY15" s="64"/>
      <c r="KKZ15" s="64"/>
      <c r="KLA15" s="64"/>
      <c r="KLB15" s="64"/>
      <c r="KLC15" s="64"/>
      <c r="KLD15" s="64"/>
      <c r="KLE15" s="64"/>
      <c r="KLF15" s="64"/>
      <c r="KLG15" s="64"/>
      <c r="KLH15" s="64"/>
      <c r="KLI15" s="64"/>
      <c r="KLJ15" s="64"/>
      <c r="KLK15" s="64"/>
      <c r="KLL15" s="64"/>
      <c r="KLM15" s="64"/>
      <c r="KLN15" s="64"/>
      <c r="KLO15" s="64"/>
      <c r="KLP15" s="64"/>
      <c r="KLQ15" s="64"/>
      <c r="KLR15" s="64"/>
      <c r="KLS15" s="64"/>
      <c r="KLT15" s="64"/>
      <c r="KLU15" s="64"/>
      <c r="KLV15" s="64"/>
      <c r="KLW15" s="64"/>
      <c r="KLX15" s="64"/>
      <c r="KLY15" s="64"/>
      <c r="KLZ15" s="64"/>
      <c r="KMA15" s="64"/>
      <c r="KMB15" s="64"/>
      <c r="KMC15" s="64"/>
      <c r="KMD15" s="64"/>
      <c r="KME15" s="64"/>
      <c r="KMF15" s="64"/>
      <c r="KMG15" s="64"/>
      <c r="KMH15" s="64"/>
      <c r="KMI15" s="64"/>
      <c r="KMJ15" s="64"/>
      <c r="KMK15" s="64"/>
      <c r="KML15" s="64"/>
      <c r="KMM15" s="64"/>
      <c r="KMN15" s="64"/>
      <c r="KMO15" s="64"/>
      <c r="KMP15" s="64"/>
      <c r="KMQ15" s="64"/>
      <c r="KMR15" s="64"/>
      <c r="KMS15" s="64"/>
      <c r="KMT15" s="64"/>
      <c r="KMU15" s="64"/>
      <c r="KMV15" s="64"/>
      <c r="KMW15" s="64"/>
      <c r="KMX15" s="64"/>
      <c r="KMY15" s="64"/>
      <c r="KMZ15" s="64"/>
      <c r="KNA15" s="64"/>
      <c r="KNB15" s="64"/>
      <c r="KNC15" s="64"/>
      <c r="KND15" s="64"/>
      <c r="KNE15" s="64"/>
      <c r="KNF15" s="64"/>
      <c r="KNG15" s="64"/>
      <c r="KNH15" s="64"/>
      <c r="KNI15" s="64"/>
      <c r="KNJ15" s="64"/>
      <c r="KNK15" s="64"/>
      <c r="KNL15" s="64"/>
      <c r="KNM15" s="64"/>
      <c r="KNN15" s="64"/>
      <c r="KNO15" s="64"/>
      <c r="KNP15" s="64"/>
      <c r="KNQ15" s="64"/>
      <c r="KNR15" s="64"/>
      <c r="KNS15" s="64"/>
      <c r="KNT15" s="64"/>
      <c r="KNU15" s="64"/>
      <c r="KNV15" s="64"/>
      <c r="KNW15" s="64"/>
      <c r="KNX15" s="64"/>
      <c r="KNY15" s="64"/>
      <c r="KNZ15" s="64"/>
      <c r="KOA15" s="64"/>
      <c r="KOB15" s="64"/>
      <c r="KOC15" s="64"/>
      <c r="KOD15" s="64"/>
      <c r="KOE15" s="64"/>
      <c r="KOF15" s="64"/>
      <c r="KOG15" s="64"/>
      <c r="KOH15" s="64"/>
      <c r="KOI15" s="64"/>
      <c r="KOJ15" s="64"/>
      <c r="KOK15" s="64"/>
      <c r="KOL15" s="64"/>
      <c r="KOM15" s="64"/>
      <c r="KON15" s="64"/>
      <c r="KOO15" s="64"/>
      <c r="KOP15" s="64"/>
      <c r="KOQ15" s="64"/>
      <c r="KOR15" s="64"/>
      <c r="KOS15" s="64"/>
      <c r="KOT15" s="64"/>
      <c r="KOU15" s="64"/>
      <c r="KOV15" s="64"/>
      <c r="KOW15" s="64"/>
      <c r="KOX15" s="64"/>
      <c r="KOY15" s="64"/>
      <c r="KOZ15" s="64"/>
      <c r="KPA15" s="64"/>
      <c r="KPB15" s="64"/>
      <c r="KPC15" s="64"/>
      <c r="KPD15" s="64"/>
      <c r="KPE15" s="64"/>
      <c r="KPF15" s="64"/>
      <c r="KPG15" s="64"/>
      <c r="KPH15" s="64"/>
      <c r="KPI15" s="64"/>
      <c r="KPJ15" s="64"/>
      <c r="KPK15" s="64"/>
      <c r="KPL15" s="64"/>
      <c r="KPS15" s="64"/>
      <c r="KPT15" s="64"/>
      <c r="KPU15" s="64"/>
      <c r="KPV15" s="64"/>
      <c r="KPW15" s="64"/>
      <c r="KPX15" s="64"/>
      <c r="KPY15" s="64"/>
      <c r="KPZ15" s="64"/>
      <c r="KQA15" s="64"/>
      <c r="KQB15" s="64"/>
      <c r="KQC15" s="64"/>
      <c r="KQD15" s="64"/>
      <c r="KQE15" s="64"/>
      <c r="KQF15" s="64"/>
      <c r="KQG15" s="64"/>
      <c r="KQH15" s="64"/>
      <c r="KQI15" s="64"/>
      <c r="KQJ15" s="64"/>
      <c r="KQK15" s="64"/>
      <c r="KQL15" s="64"/>
      <c r="KQM15" s="64"/>
      <c r="KQN15" s="64"/>
      <c r="KQO15" s="64"/>
      <c r="KQP15" s="64"/>
      <c r="KQQ15" s="64"/>
      <c r="KQR15" s="64"/>
      <c r="KQS15" s="64"/>
      <c r="KQT15" s="64"/>
      <c r="KQU15" s="64"/>
      <c r="KQV15" s="64"/>
      <c r="KQW15" s="64"/>
      <c r="KQX15" s="64"/>
      <c r="KQY15" s="64"/>
      <c r="KQZ15" s="64"/>
      <c r="KRA15" s="64"/>
      <c r="KRB15" s="64"/>
      <c r="KRC15" s="64"/>
      <c r="KRD15" s="64"/>
      <c r="KRE15" s="64"/>
      <c r="KRF15" s="64"/>
      <c r="KRG15" s="64"/>
      <c r="KRH15" s="64"/>
      <c r="KRI15" s="64"/>
      <c r="KRJ15" s="64"/>
      <c r="KRK15" s="64"/>
      <c r="KRL15" s="64"/>
      <c r="KRM15" s="64"/>
      <c r="KRN15" s="64"/>
      <c r="KRO15" s="64"/>
      <c r="KRP15" s="64"/>
      <c r="KRQ15" s="64"/>
      <c r="KRR15" s="64"/>
      <c r="KRS15" s="64"/>
      <c r="KRT15" s="64"/>
      <c r="KRU15" s="64"/>
      <c r="KRV15" s="64"/>
      <c r="KRW15" s="64"/>
      <c r="KRX15" s="64"/>
      <c r="KRY15" s="64"/>
      <c r="KRZ15" s="64"/>
      <c r="KSA15" s="64"/>
      <c r="KSB15" s="64"/>
      <c r="KSC15" s="64"/>
      <c r="KSD15" s="64"/>
      <c r="KSE15" s="64"/>
      <c r="KSF15" s="64"/>
      <c r="KSG15" s="64"/>
      <c r="KSH15" s="64"/>
      <c r="KSI15" s="64"/>
      <c r="KSJ15" s="64"/>
      <c r="KSK15" s="64"/>
      <c r="KSL15" s="64"/>
      <c r="KSM15" s="64"/>
      <c r="KSN15" s="64"/>
      <c r="KSO15" s="64"/>
      <c r="KSP15" s="64"/>
      <c r="KSQ15" s="64"/>
      <c r="KSR15" s="64"/>
      <c r="KSS15" s="64"/>
      <c r="KST15" s="64"/>
      <c r="KSU15" s="64"/>
      <c r="KSV15" s="64"/>
      <c r="KSW15" s="64"/>
      <c r="KSX15" s="64"/>
      <c r="KSY15" s="64"/>
      <c r="KSZ15" s="64"/>
      <c r="KTA15" s="64"/>
      <c r="KTB15" s="64"/>
      <c r="KTC15" s="64"/>
      <c r="KTD15" s="64"/>
      <c r="KTE15" s="64"/>
      <c r="KTF15" s="64"/>
      <c r="KTG15" s="64"/>
      <c r="KTH15" s="64"/>
      <c r="KTI15" s="64"/>
      <c r="KTJ15" s="64"/>
      <c r="KTK15" s="64"/>
      <c r="KTL15" s="64"/>
      <c r="KTM15" s="64"/>
      <c r="KTN15" s="64"/>
      <c r="KTO15" s="64"/>
      <c r="KTP15" s="64"/>
      <c r="KTQ15" s="64"/>
      <c r="KTR15" s="64"/>
      <c r="KTS15" s="64"/>
      <c r="KTT15" s="64"/>
      <c r="KTU15" s="64"/>
      <c r="KTV15" s="64"/>
      <c r="KTW15" s="64"/>
      <c r="KTX15" s="64"/>
      <c r="KTY15" s="64"/>
      <c r="KTZ15" s="64"/>
      <c r="KUA15" s="64"/>
      <c r="KUB15" s="64"/>
      <c r="KUC15" s="64"/>
      <c r="KUD15" s="64"/>
      <c r="KUE15" s="64"/>
      <c r="KUF15" s="64"/>
      <c r="KUG15" s="64"/>
      <c r="KUH15" s="64"/>
      <c r="KUI15" s="64"/>
      <c r="KUJ15" s="64"/>
      <c r="KUK15" s="64"/>
      <c r="KUL15" s="64"/>
      <c r="KUM15" s="64"/>
      <c r="KUN15" s="64"/>
      <c r="KUO15" s="64"/>
      <c r="KUP15" s="64"/>
      <c r="KUQ15" s="64"/>
      <c r="KUR15" s="64"/>
      <c r="KUS15" s="64"/>
      <c r="KUT15" s="64"/>
      <c r="KUU15" s="64"/>
      <c r="KUV15" s="64"/>
      <c r="KUW15" s="64"/>
      <c r="KUX15" s="64"/>
      <c r="KUY15" s="64"/>
      <c r="KUZ15" s="64"/>
      <c r="KVA15" s="64"/>
      <c r="KVB15" s="64"/>
      <c r="KVC15" s="64"/>
      <c r="KVD15" s="64"/>
      <c r="KVE15" s="64"/>
      <c r="KVF15" s="64"/>
      <c r="KVG15" s="64"/>
      <c r="KVH15" s="64"/>
      <c r="KVI15" s="64"/>
      <c r="KVJ15" s="64"/>
      <c r="KVK15" s="64"/>
      <c r="KVL15" s="64"/>
      <c r="KVM15" s="64"/>
      <c r="KVN15" s="64"/>
      <c r="KVO15" s="64"/>
      <c r="KVP15" s="64"/>
      <c r="KVQ15" s="64"/>
      <c r="KVR15" s="64"/>
      <c r="KVS15" s="64"/>
      <c r="KVT15" s="64"/>
      <c r="KVU15" s="64"/>
      <c r="KVV15" s="64"/>
      <c r="KVW15" s="64"/>
      <c r="KVX15" s="64"/>
      <c r="KVY15" s="64"/>
      <c r="KVZ15" s="64"/>
      <c r="KWA15" s="64"/>
      <c r="KWB15" s="64"/>
      <c r="KWC15" s="64"/>
      <c r="KWD15" s="64"/>
      <c r="KWE15" s="64"/>
      <c r="KWF15" s="64"/>
      <c r="KWG15" s="64"/>
      <c r="KWH15" s="64"/>
      <c r="KWI15" s="64"/>
      <c r="KWJ15" s="64"/>
      <c r="KWK15" s="64"/>
      <c r="KWL15" s="64"/>
      <c r="KWM15" s="64"/>
      <c r="KWN15" s="64"/>
      <c r="KWO15" s="64"/>
      <c r="KWP15" s="64"/>
      <c r="KWQ15" s="64"/>
      <c r="KWR15" s="64"/>
      <c r="KWS15" s="64"/>
      <c r="KWT15" s="64"/>
      <c r="KWU15" s="64"/>
      <c r="KWV15" s="64"/>
      <c r="KWW15" s="64"/>
      <c r="KWX15" s="64"/>
      <c r="KWY15" s="64"/>
      <c r="KWZ15" s="64"/>
      <c r="KXA15" s="64"/>
      <c r="KXB15" s="64"/>
      <c r="KXC15" s="64"/>
      <c r="KXD15" s="64"/>
      <c r="KXE15" s="64"/>
      <c r="KXF15" s="64"/>
      <c r="KXG15" s="64"/>
      <c r="KXH15" s="64"/>
      <c r="KXI15" s="64"/>
      <c r="KXJ15" s="64"/>
      <c r="KXK15" s="64"/>
      <c r="KXL15" s="64"/>
      <c r="KXM15" s="64"/>
      <c r="KXN15" s="64"/>
      <c r="KXO15" s="64"/>
      <c r="KXP15" s="64"/>
      <c r="KXQ15" s="64"/>
      <c r="KXR15" s="64"/>
      <c r="KXS15" s="64"/>
      <c r="KXT15" s="64"/>
      <c r="KXU15" s="64"/>
      <c r="KXV15" s="64"/>
      <c r="KXW15" s="64"/>
      <c r="KXX15" s="64"/>
      <c r="KXY15" s="64"/>
      <c r="KXZ15" s="64"/>
      <c r="KYA15" s="64"/>
      <c r="KYB15" s="64"/>
      <c r="KYC15" s="64"/>
      <c r="KYD15" s="64"/>
      <c r="KYE15" s="64"/>
      <c r="KYF15" s="64"/>
      <c r="KYG15" s="64"/>
      <c r="KYH15" s="64"/>
      <c r="KYI15" s="64"/>
      <c r="KYJ15" s="64"/>
      <c r="KYK15" s="64"/>
      <c r="KYL15" s="64"/>
      <c r="KYM15" s="64"/>
      <c r="KYN15" s="64"/>
      <c r="KYO15" s="64"/>
      <c r="KYP15" s="64"/>
      <c r="KYQ15" s="64"/>
      <c r="KYR15" s="64"/>
      <c r="KYS15" s="64"/>
      <c r="KYT15" s="64"/>
      <c r="KYU15" s="64"/>
      <c r="KYV15" s="64"/>
      <c r="KYW15" s="64"/>
      <c r="KYX15" s="64"/>
      <c r="KYY15" s="64"/>
      <c r="KYZ15" s="64"/>
      <c r="KZA15" s="64"/>
      <c r="KZB15" s="64"/>
      <c r="KZC15" s="64"/>
      <c r="KZD15" s="64"/>
      <c r="KZE15" s="64"/>
      <c r="KZF15" s="64"/>
      <c r="KZG15" s="64"/>
      <c r="KZH15" s="64"/>
      <c r="KZO15" s="64"/>
      <c r="KZP15" s="64"/>
      <c r="KZQ15" s="64"/>
      <c r="KZR15" s="64"/>
      <c r="KZS15" s="64"/>
      <c r="KZT15" s="64"/>
      <c r="KZU15" s="64"/>
      <c r="KZV15" s="64"/>
      <c r="KZW15" s="64"/>
      <c r="KZX15" s="64"/>
      <c r="KZY15" s="64"/>
      <c r="KZZ15" s="64"/>
      <c r="LAA15" s="64"/>
      <c r="LAB15" s="64"/>
      <c r="LAC15" s="64"/>
      <c r="LAD15" s="64"/>
      <c r="LAE15" s="64"/>
      <c r="LAF15" s="64"/>
      <c r="LAG15" s="64"/>
      <c r="LAH15" s="64"/>
      <c r="LAI15" s="64"/>
      <c r="LAJ15" s="64"/>
      <c r="LAK15" s="64"/>
      <c r="LAL15" s="64"/>
      <c r="LAM15" s="64"/>
      <c r="LAN15" s="64"/>
      <c r="LAO15" s="64"/>
      <c r="LAP15" s="64"/>
      <c r="LAQ15" s="64"/>
      <c r="LAR15" s="64"/>
      <c r="LAS15" s="64"/>
      <c r="LAT15" s="64"/>
      <c r="LAU15" s="64"/>
      <c r="LAV15" s="64"/>
      <c r="LAW15" s="64"/>
      <c r="LAX15" s="64"/>
      <c r="LAY15" s="64"/>
      <c r="LAZ15" s="64"/>
      <c r="LBA15" s="64"/>
      <c r="LBB15" s="64"/>
      <c r="LBC15" s="64"/>
      <c r="LBD15" s="64"/>
      <c r="LBE15" s="64"/>
      <c r="LBF15" s="64"/>
      <c r="LBG15" s="64"/>
      <c r="LBH15" s="64"/>
      <c r="LBI15" s="64"/>
      <c r="LBJ15" s="64"/>
      <c r="LBK15" s="64"/>
      <c r="LBL15" s="64"/>
      <c r="LBM15" s="64"/>
      <c r="LBN15" s="64"/>
      <c r="LBO15" s="64"/>
      <c r="LBP15" s="64"/>
      <c r="LBQ15" s="64"/>
      <c r="LBR15" s="64"/>
      <c r="LBS15" s="64"/>
      <c r="LBT15" s="64"/>
      <c r="LBU15" s="64"/>
      <c r="LBV15" s="64"/>
      <c r="LBW15" s="64"/>
      <c r="LBX15" s="64"/>
      <c r="LBY15" s="64"/>
      <c r="LBZ15" s="64"/>
      <c r="LCA15" s="64"/>
      <c r="LCB15" s="64"/>
      <c r="LCC15" s="64"/>
      <c r="LCD15" s="64"/>
      <c r="LCE15" s="64"/>
      <c r="LCF15" s="64"/>
      <c r="LCG15" s="64"/>
      <c r="LCH15" s="64"/>
      <c r="LCI15" s="64"/>
      <c r="LCJ15" s="64"/>
      <c r="LCK15" s="64"/>
      <c r="LCL15" s="64"/>
      <c r="LCM15" s="64"/>
      <c r="LCN15" s="64"/>
      <c r="LCO15" s="64"/>
      <c r="LCP15" s="64"/>
      <c r="LCQ15" s="64"/>
      <c r="LCR15" s="64"/>
      <c r="LCS15" s="64"/>
      <c r="LCT15" s="64"/>
      <c r="LCU15" s="64"/>
      <c r="LCV15" s="64"/>
      <c r="LCW15" s="64"/>
      <c r="LCX15" s="64"/>
      <c r="LCY15" s="64"/>
      <c r="LCZ15" s="64"/>
      <c r="LDA15" s="64"/>
      <c r="LDB15" s="64"/>
      <c r="LDC15" s="64"/>
      <c r="LDD15" s="64"/>
      <c r="LDE15" s="64"/>
      <c r="LDF15" s="64"/>
      <c r="LDG15" s="64"/>
      <c r="LDH15" s="64"/>
      <c r="LDI15" s="64"/>
      <c r="LDJ15" s="64"/>
      <c r="LDK15" s="64"/>
      <c r="LDL15" s="64"/>
      <c r="LDM15" s="64"/>
      <c r="LDN15" s="64"/>
      <c r="LDO15" s="64"/>
      <c r="LDP15" s="64"/>
      <c r="LDQ15" s="64"/>
      <c r="LDR15" s="64"/>
      <c r="LDS15" s="64"/>
      <c r="LDT15" s="64"/>
      <c r="LDU15" s="64"/>
      <c r="LDV15" s="64"/>
      <c r="LDW15" s="64"/>
      <c r="LDX15" s="64"/>
      <c r="LDY15" s="64"/>
      <c r="LDZ15" s="64"/>
      <c r="LEA15" s="64"/>
      <c r="LEB15" s="64"/>
      <c r="LEC15" s="64"/>
      <c r="LED15" s="64"/>
      <c r="LEE15" s="64"/>
      <c r="LEF15" s="64"/>
      <c r="LEG15" s="64"/>
      <c r="LEH15" s="64"/>
      <c r="LEI15" s="64"/>
      <c r="LEJ15" s="64"/>
      <c r="LEK15" s="64"/>
      <c r="LEL15" s="64"/>
      <c r="LEM15" s="64"/>
      <c r="LEN15" s="64"/>
      <c r="LEO15" s="64"/>
      <c r="LEP15" s="64"/>
      <c r="LEQ15" s="64"/>
      <c r="LER15" s="64"/>
      <c r="LES15" s="64"/>
      <c r="LET15" s="64"/>
      <c r="LEU15" s="64"/>
      <c r="LEV15" s="64"/>
      <c r="LEW15" s="64"/>
      <c r="LEX15" s="64"/>
      <c r="LEY15" s="64"/>
      <c r="LEZ15" s="64"/>
      <c r="LFA15" s="64"/>
      <c r="LFB15" s="64"/>
      <c r="LFC15" s="64"/>
      <c r="LFD15" s="64"/>
      <c r="LFE15" s="64"/>
      <c r="LFF15" s="64"/>
      <c r="LFG15" s="64"/>
      <c r="LFH15" s="64"/>
      <c r="LFI15" s="64"/>
      <c r="LFJ15" s="64"/>
      <c r="LFK15" s="64"/>
      <c r="LFL15" s="64"/>
      <c r="LFM15" s="64"/>
      <c r="LFN15" s="64"/>
      <c r="LFO15" s="64"/>
      <c r="LFP15" s="64"/>
      <c r="LFQ15" s="64"/>
      <c r="LFR15" s="64"/>
      <c r="LFS15" s="64"/>
      <c r="LFT15" s="64"/>
      <c r="LFU15" s="64"/>
      <c r="LFV15" s="64"/>
      <c r="LFW15" s="64"/>
      <c r="LFX15" s="64"/>
      <c r="LFY15" s="64"/>
      <c r="LFZ15" s="64"/>
      <c r="LGA15" s="64"/>
      <c r="LGB15" s="64"/>
      <c r="LGC15" s="64"/>
      <c r="LGD15" s="64"/>
      <c r="LGE15" s="64"/>
      <c r="LGF15" s="64"/>
      <c r="LGG15" s="64"/>
      <c r="LGH15" s="64"/>
      <c r="LGI15" s="64"/>
      <c r="LGJ15" s="64"/>
      <c r="LGK15" s="64"/>
      <c r="LGL15" s="64"/>
      <c r="LGM15" s="64"/>
      <c r="LGN15" s="64"/>
      <c r="LGO15" s="64"/>
      <c r="LGP15" s="64"/>
      <c r="LGQ15" s="64"/>
      <c r="LGR15" s="64"/>
      <c r="LGS15" s="64"/>
      <c r="LGT15" s="64"/>
      <c r="LGU15" s="64"/>
      <c r="LGV15" s="64"/>
      <c r="LGW15" s="64"/>
      <c r="LGX15" s="64"/>
      <c r="LGY15" s="64"/>
      <c r="LGZ15" s="64"/>
      <c r="LHA15" s="64"/>
      <c r="LHB15" s="64"/>
      <c r="LHC15" s="64"/>
      <c r="LHD15" s="64"/>
      <c r="LHE15" s="64"/>
      <c r="LHF15" s="64"/>
      <c r="LHG15" s="64"/>
      <c r="LHH15" s="64"/>
      <c r="LHI15" s="64"/>
      <c r="LHJ15" s="64"/>
      <c r="LHK15" s="64"/>
      <c r="LHL15" s="64"/>
      <c r="LHM15" s="64"/>
      <c r="LHN15" s="64"/>
      <c r="LHO15" s="64"/>
      <c r="LHP15" s="64"/>
      <c r="LHQ15" s="64"/>
      <c r="LHR15" s="64"/>
      <c r="LHS15" s="64"/>
      <c r="LHT15" s="64"/>
      <c r="LHU15" s="64"/>
      <c r="LHV15" s="64"/>
      <c r="LHW15" s="64"/>
      <c r="LHX15" s="64"/>
      <c r="LHY15" s="64"/>
      <c r="LHZ15" s="64"/>
      <c r="LIA15" s="64"/>
      <c r="LIB15" s="64"/>
      <c r="LIC15" s="64"/>
      <c r="LID15" s="64"/>
      <c r="LIE15" s="64"/>
      <c r="LIF15" s="64"/>
      <c r="LIG15" s="64"/>
      <c r="LIH15" s="64"/>
      <c r="LII15" s="64"/>
      <c r="LIJ15" s="64"/>
      <c r="LIK15" s="64"/>
      <c r="LIL15" s="64"/>
      <c r="LIM15" s="64"/>
      <c r="LIN15" s="64"/>
      <c r="LIO15" s="64"/>
      <c r="LIP15" s="64"/>
      <c r="LIQ15" s="64"/>
      <c r="LIR15" s="64"/>
      <c r="LIS15" s="64"/>
      <c r="LIT15" s="64"/>
      <c r="LIU15" s="64"/>
      <c r="LIV15" s="64"/>
      <c r="LIW15" s="64"/>
      <c r="LIX15" s="64"/>
      <c r="LIY15" s="64"/>
      <c r="LIZ15" s="64"/>
      <c r="LJA15" s="64"/>
      <c r="LJB15" s="64"/>
      <c r="LJC15" s="64"/>
      <c r="LJD15" s="64"/>
      <c r="LJK15" s="64"/>
      <c r="LJL15" s="64"/>
      <c r="LJM15" s="64"/>
      <c r="LJN15" s="64"/>
      <c r="LJO15" s="64"/>
      <c r="LJP15" s="64"/>
      <c r="LJQ15" s="64"/>
      <c r="LJR15" s="64"/>
      <c r="LJS15" s="64"/>
      <c r="LJT15" s="64"/>
      <c r="LJU15" s="64"/>
      <c r="LJV15" s="64"/>
      <c r="LJW15" s="64"/>
      <c r="LJX15" s="64"/>
      <c r="LJY15" s="64"/>
      <c r="LJZ15" s="64"/>
      <c r="LKA15" s="64"/>
      <c r="LKB15" s="64"/>
      <c r="LKC15" s="64"/>
      <c r="LKD15" s="64"/>
      <c r="LKE15" s="64"/>
      <c r="LKF15" s="64"/>
      <c r="LKG15" s="64"/>
      <c r="LKH15" s="64"/>
      <c r="LKI15" s="64"/>
      <c r="LKJ15" s="64"/>
      <c r="LKK15" s="64"/>
      <c r="LKL15" s="64"/>
      <c r="LKM15" s="64"/>
      <c r="LKN15" s="64"/>
      <c r="LKO15" s="64"/>
      <c r="LKP15" s="64"/>
      <c r="LKQ15" s="64"/>
      <c r="LKR15" s="64"/>
      <c r="LKS15" s="64"/>
      <c r="LKT15" s="64"/>
      <c r="LKU15" s="64"/>
      <c r="LKV15" s="64"/>
      <c r="LKW15" s="64"/>
      <c r="LKX15" s="64"/>
      <c r="LKY15" s="64"/>
      <c r="LKZ15" s="64"/>
      <c r="LLA15" s="64"/>
      <c r="LLB15" s="64"/>
      <c r="LLC15" s="64"/>
      <c r="LLD15" s="64"/>
      <c r="LLE15" s="64"/>
      <c r="LLF15" s="64"/>
      <c r="LLG15" s="64"/>
      <c r="LLH15" s="64"/>
      <c r="LLI15" s="64"/>
      <c r="LLJ15" s="64"/>
      <c r="LLK15" s="64"/>
      <c r="LLL15" s="64"/>
      <c r="LLM15" s="64"/>
      <c r="LLN15" s="64"/>
      <c r="LLO15" s="64"/>
      <c r="LLP15" s="64"/>
      <c r="LLQ15" s="64"/>
      <c r="LLR15" s="64"/>
      <c r="LLS15" s="64"/>
      <c r="LLT15" s="64"/>
      <c r="LLU15" s="64"/>
      <c r="LLV15" s="64"/>
      <c r="LLW15" s="64"/>
      <c r="LLX15" s="64"/>
      <c r="LLY15" s="64"/>
      <c r="LLZ15" s="64"/>
      <c r="LMA15" s="64"/>
      <c r="LMB15" s="64"/>
      <c r="LMC15" s="64"/>
      <c r="LMD15" s="64"/>
      <c r="LME15" s="64"/>
      <c r="LMF15" s="64"/>
      <c r="LMG15" s="64"/>
      <c r="LMH15" s="64"/>
      <c r="LMI15" s="64"/>
      <c r="LMJ15" s="64"/>
      <c r="LMK15" s="64"/>
      <c r="LML15" s="64"/>
      <c r="LMM15" s="64"/>
      <c r="LMN15" s="64"/>
      <c r="LMO15" s="64"/>
      <c r="LMP15" s="64"/>
      <c r="LMQ15" s="64"/>
      <c r="LMR15" s="64"/>
      <c r="LMS15" s="64"/>
      <c r="LMT15" s="64"/>
      <c r="LMU15" s="64"/>
      <c r="LMV15" s="64"/>
      <c r="LMW15" s="64"/>
      <c r="LMX15" s="64"/>
      <c r="LMY15" s="64"/>
      <c r="LMZ15" s="64"/>
      <c r="LNA15" s="64"/>
      <c r="LNB15" s="64"/>
      <c r="LNC15" s="64"/>
      <c r="LND15" s="64"/>
      <c r="LNE15" s="64"/>
      <c r="LNF15" s="64"/>
      <c r="LNG15" s="64"/>
      <c r="LNH15" s="64"/>
      <c r="LNI15" s="64"/>
      <c r="LNJ15" s="64"/>
      <c r="LNK15" s="64"/>
      <c r="LNL15" s="64"/>
      <c r="LNM15" s="64"/>
      <c r="LNN15" s="64"/>
      <c r="LNO15" s="64"/>
      <c r="LNP15" s="64"/>
      <c r="LNQ15" s="64"/>
      <c r="LNR15" s="64"/>
      <c r="LNS15" s="64"/>
      <c r="LNT15" s="64"/>
      <c r="LNU15" s="64"/>
      <c r="LNV15" s="64"/>
      <c r="LNW15" s="64"/>
      <c r="LNX15" s="64"/>
      <c r="LNY15" s="64"/>
      <c r="LNZ15" s="64"/>
      <c r="LOA15" s="64"/>
      <c r="LOB15" s="64"/>
      <c r="LOC15" s="64"/>
      <c r="LOD15" s="64"/>
      <c r="LOE15" s="64"/>
      <c r="LOF15" s="64"/>
      <c r="LOG15" s="64"/>
      <c r="LOH15" s="64"/>
      <c r="LOI15" s="64"/>
      <c r="LOJ15" s="64"/>
      <c r="LOK15" s="64"/>
      <c r="LOL15" s="64"/>
      <c r="LOM15" s="64"/>
      <c r="LON15" s="64"/>
      <c r="LOO15" s="64"/>
      <c r="LOP15" s="64"/>
      <c r="LOQ15" s="64"/>
      <c r="LOR15" s="64"/>
      <c r="LOS15" s="64"/>
      <c r="LOT15" s="64"/>
      <c r="LOU15" s="64"/>
      <c r="LOV15" s="64"/>
      <c r="LOW15" s="64"/>
      <c r="LOX15" s="64"/>
      <c r="LOY15" s="64"/>
      <c r="LOZ15" s="64"/>
      <c r="LPA15" s="64"/>
      <c r="LPB15" s="64"/>
      <c r="LPC15" s="64"/>
      <c r="LPD15" s="64"/>
      <c r="LPE15" s="64"/>
      <c r="LPF15" s="64"/>
      <c r="LPG15" s="64"/>
      <c r="LPH15" s="64"/>
      <c r="LPI15" s="64"/>
      <c r="LPJ15" s="64"/>
      <c r="LPK15" s="64"/>
      <c r="LPL15" s="64"/>
      <c r="LPM15" s="64"/>
      <c r="LPN15" s="64"/>
      <c r="LPO15" s="64"/>
      <c r="LPP15" s="64"/>
      <c r="LPQ15" s="64"/>
      <c r="LPR15" s="64"/>
      <c r="LPS15" s="64"/>
      <c r="LPT15" s="64"/>
      <c r="LPU15" s="64"/>
      <c r="LPV15" s="64"/>
      <c r="LPW15" s="64"/>
      <c r="LPX15" s="64"/>
      <c r="LPY15" s="64"/>
      <c r="LPZ15" s="64"/>
      <c r="LQA15" s="64"/>
      <c r="LQB15" s="64"/>
      <c r="LQC15" s="64"/>
      <c r="LQD15" s="64"/>
      <c r="LQE15" s="64"/>
      <c r="LQF15" s="64"/>
      <c r="LQG15" s="64"/>
      <c r="LQH15" s="64"/>
      <c r="LQI15" s="64"/>
      <c r="LQJ15" s="64"/>
      <c r="LQK15" s="64"/>
      <c r="LQL15" s="64"/>
      <c r="LQM15" s="64"/>
      <c r="LQN15" s="64"/>
      <c r="LQO15" s="64"/>
      <c r="LQP15" s="64"/>
      <c r="LQQ15" s="64"/>
      <c r="LQR15" s="64"/>
      <c r="LQS15" s="64"/>
      <c r="LQT15" s="64"/>
      <c r="LQU15" s="64"/>
      <c r="LQV15" s="64"/>
      <c r="LQW15" s="64"/>
      <c r="LQX15" s="64"/>
      <c r="LQY15" s="64"/>
      <c r="LQZ15" s="64"/>
      <c r="LRA15" s="64"/>
      <c r="LRB15" s="64"/>
      <c r="LRC15" s="64"/>
      <c r="LRD15" s="64"/>
      <c r="LRE15" s="64"/>
      <c r="LRF15" s="64"/>
      <c r="LRG15" s="64"/>
      <c r="LRH15" s="64"/>
      <c r="LRI15" s="64"/>
      <c r="LRJ15" s="64"/>
      <c r="LRK15" s="64"/>
      <c r="LRL15" s="64"/>
      <c r="LRM15" s="64"/>
      <c r="LRN15" s="64"/>
      <c r="LRO15" s="64"/>
      <c r="LRP15" s="64"/>
      <c r="LRQ15" s="64"/>
      <c r="LRR15" s="64"/>
      <c r="LRS15" s="64"/>
      <c r="LRT15" s="64"/>
      <c r="LRU15" s="64"/>
      <c r="LRV15" s="64"/>
      <c r="LRW15" s="64"/>
      <c r="LRX15" s="64"/>
      <c r="LRY15" s="64"/>
      <c r="LRZ15" s="64"/>
      <c r="LSA15" s="64"/>
      <c r="LSB15" s="64"/>
      <c r="LSC15" s="64"/>
      <c r="LSD15" s="64"/>
      <c r="LSE15" s="64"/>
      <c r="LSF15" s="64"/>
      <c r="LSG15" s="64"/>
      <c r="LSH15" s="64"/>
      <c r="LSI15" s="64"/>
      <c r="LSJ15" s="64"/>
      <c r="LSK15" s="64"/>
      <c r="LSL15" s="64"/>
      <c r="LSM15" s="64"/>
      <c r="LSN15" s="64"/>
      <c r="LSO15" s="64"/>
      <c r="LSP15" s="64"/>
      <c r="LSQ15" s="64"/>
      <c r="LSR15" s="64"/>
      <c r="LSS15" s="64"/>
      <c r="LST15" s="64"/>
      <c r="LSU15" s="64"/>
      <c r="LSV15" s="64"/>
      <c r="LSW15" s="64"/>
      <c r="LSX15" s="64"/>
      <c r="LSY15" s="64"/>
      <c r="LSZ15" s="64"/>
      <c r="LTG15" s="64"/>
      <c r="LTH15" s="64"/>
      <c r="LTI15" s="64"/>
      <c r="LTJ15" s="64"/>
      <c r="LTK15" s="64"/>
      <c r="LTL15" s="64"/>
      <c r="LTM15" s="64"/>
      <c r="LTN15" s="64"/>
      <c r="LTO15" s="64"/>
      <c r="LTP15" s="64"/>
      <c r="LTQ15" s="64"/>
      <c r="LTR15" s="64"/>
      <c r="LTS15" s="64"/>
      <c r="LTT15" s="64"/>
      <c r="LTU15" s="64"/>
      <c r="LTV15" s="64"/>
      <c r="LTW15" s="64"/>
      <c r="LTX15" s="64"/>
      <c r="LTY15" s="64"/>
      <c r="LTZ15" s="64"/>
      <c r="LUA15" s="64"/>
      <c r="LUB15" s="64"/>
      <c r="LUC15" s="64"/>
      <c r="LUD15" s="64"/>
      <c r="LUE15" s="64"/>
      <c r="LUF15" s="64"/>
      <c r="LUG15" s="64"/>
      <c r="LUH15" s="64"/>
      <c r="LUI15" s="64"/>
      <c r="LUJ15" s="64"/>
      <c r="LUK15" s="64"/>
      <c r="LUL15" s="64"/>
      <c r="LUM15" s="64"/>
      <c r="LUN15" s="64"/>
      <c r="LUO15" s="64"/>
      <c r="LUP15" s="64"/>
      <c r="LUQ15" s="64"/>
      <c r="LUR15" s="64"/>
      <c r="LUS15" s="64"/>
      <c r="LUT15" s="64"/>
      <c r="LUU15" s="64"/>
      <c r="LUV15" s="64"/>
      <c r="LUW15" s="64"/>
      <c r="LUX15" s="64"/>
      <c r="LUY15" s="64"/>
      <c r="LUZ15" s="64"/>
      <c r="LVA15" s="64"/>
      <c r="LVB15" s="64"/>
      <c r="LVC15" s="64"/>
      <c r="LVD15" s="64"/>
      <c r="LVE15" s="64"/>
      <c r="LVF15" s="64"/>
      <c r="LVG15" s="64"/>
      <c r="LVH15" s="64"/>
      <c r="LVI15" s="64"/>
      <c r="LVJ15" s="64"/>
      <c r="LVK15" s="64"/>
      <c r="LVL15" s="64"/>
      <c r="LVM15" s="64"/>
      <c r="LVN15" s="64"/>
      <c r="LVO15" s="64"/>
      <c r="LVP15" s="64"/>
      <c r="LVQ15" s="64"/>
      <c r="LVR15" s="64"/>
      <c r="LVS15" s="64"/>
      <c r="LVT15" s="64"/>
      <c r="LVU15" s="64"/>
      <c r="LVV15" s="64"/>
      <c r="LVW15" s="64"/>
      <c r="LVX15" s="64"/>
      <c r="LVY15" s="64"/>
      <c r="LVZ15" s="64"/>
      <c r="LWA15" s="64"/>
      <c r="LWB15" s="64"/>
      <c r="LWC15" s="64"/>
      <c r="LWD15" s="64"/>
      <c r="LWE15" s="64"/>
      <c r="LWF15" s="64"/>
      <c r="LWG15" s="64"/>
      <c r="LWH15" s="64"/>
      <c r="LWI15" s="64"/>
      <c r="LWJ15" s="64"/>
      <c r="LWK15" s="64"/>
      <c r="LWL15" s="64"/>
      <c r="LWM15" s="64"/>
      <c r="LWN15" s="64"/>
      <c r="LWO15" s="64"/>
      <c r="LWP15" s="64"/>
      <c r="LWQ15" s="64"/>
      <c r="LWR15" s="64"/>
      <c r="LWS15" s="64"/>
      <c r="LWT15" s="64"/>
      <c r="LWU15" s="64"/>
      <c r="LWV15" s="64"/>
      <c r="LWW15" s="64"/>
      <c r="LWX15" s="64"/>
      <c r="LWY15" s="64"/>
      <c r="LWZ15" s="64"/>
      <c r="LXA15" s="64"/>
      <c r="LXB15" s="64"/>
      <c r="LXC15" s="64"/>
      <c r="LXD15" s="64"/>
      <c r="LXE15" s="64"/>
      <c r="LXF15" s="64"/>
      <c r="LXG15" s="64"/>
      <c r="LXH15" s="64"/>
      <c r="LXI15" s="64"/>
      <c r="LXJ15" s="64"/>
      <c r="LXK15" s="64"/>
      <c r="LXL15" s="64"/>
      <c r="LXM15" s="64"/>
      <c r="LXN15" s="64"/>
      <c r="LXO15" s="64"/>
      <c r="LXP15" s="64"/>
      <c r="LXQ15" s="64"/>
      <c r="LXR15" s="64"/>
      <c r="LXS15" s="64"/>
      <c r="LXT15" s="64"/>
      <c r="LXU15" s="64"/>
      <c r="LXV15" s="64"/>
      <c r="LXW15" s="64"/>
      <c r="LXX15" s="64"/>
      <c r="LXY15" s="64"/>
      <c r="LXZ15" s="64"/>
      <c r="LYA15" s="64"/>
      <c r="LYB15" s="64"/>
      <c r="LYC15" s="64"/>
      <c r="LYD15" s="64"/>
      <c r="LYE15" s="64"/>
      <c r="LYF15" s="64"/>
      <c r="LYG15" s="64"/>
      <c r="LYH15" s="64"/>
      <c r="LYI15" s="64"/>
      <c r="LYJ15" s="64"/>
      <c r="LYK15" s="64"/>
      <c r="LYL15" s="64"/>
      <c r="LYM15" s="64"/>
      <c r="LYN15" s="64"/>
      <c r="LYO15" s="64"/>
      <c r="LYP15" s="64"/>
      <c r="LYQ15" s="64"/>
      <c r="LYR15" s="64"/>
      <c r="LYS15" s="64"/>
      <c r="LYT15" s="64"/>
      <c r="LYU15" s="64"/>
      <c r="LYV15" s="64"/>
      <c r="LYW15" s="64"/>
      <c r="LYX15" s="64"/>
      <c r="LYY15" s="64"/>
      <c r="LYZ15" s="64"/>
      <c r="LZA15" s="64"/>
      <c r="LZB15" s="64"/>
      <c r="LZC15" s="64"/>
      <c r="LZD15" s="64"/>
      <c r="LZE15" s="64"/>
      <c r="LZF15" s="64"/>
      <c r="LZG15" s="64"/>
      <c r="LZH15" s="64"/>
      <c r="LZI15" s="64"/>
      <c r="LZJ15" s="64"/>
      <c r="LZK15" s="64"/>
      <c r="LZL15" s="64"/>
      <c r="LZM15" s="64"/>
      <c r="LZN15" s="64"/>
      <c r="LZO15" s="64"/>
      <c r="LZP15" s="64"/>
      <c r="LZQ15" s="64"/>
      <c r="LZR15" s="64"/>
      <c r="LZS15" s="64"/>
      <c r="LZT15" s="64"/>
      <c r="LZU15" s="64"/>
      <c r="LZV15" s="64"/>
      <c r="LZW15" s="64"/>
      <c r="LZX15" s="64"/>
      <c r="LZY15" s="64"/>
      <c r="LZZ15" s="64"/>
      <c r="MAA15" s="64"/>
      <c r="MAB15" s="64"/>
      <c r="MAC15" s="64"/>
      <c r="MAD15" s="64"/>
      <c r="MAE15" s="64"/>
      <c r="MAF15" s="64"/>
      <c r="MAG15" s="64"/>
      <c r="MAH15" s="64"/>
      <c r="MAI15" s="64"/>
      <c r="MAJ15" s="64"/>
      <c r="MAK15" s="64"/>
      <c r="MAL15" s="64"/>
      <c r="MAM15" s="64"/>
      <c r="MAN15" s="64"/>
      <c r="MAO15" s="64"/>
      <c r="MAP15" s="64"/>
      <c r="MAQ15" s="64"/>
      <c r="MAR15" s="64"/>
      <c r="MAS15" s="64"/>
      <c r="MAT15" s="64"/>
      <c r="MAU15" s="64"/>
      <c r="MAV15" s="64"/>
      <c r="MAW15" s="64"/>
      <c r="MAX15" s="64"/>
      <c r="MAY15" s="64"/>
      <c r="MAZ15" s="64"/>
      <c r="MBA15" s="64"/>
      <c r="MBB15" s="64"/>
      <c r="MBC15" s="64"/>
      <c r="MBD15" s="64"/>
      <c r="MBE15" s="64"/>
      <c r="MBF15" s="64"/>
      <c r="MBG15" s="64"/>
      <c r="MBH15" s="64"/>
      <c r="MBI15" s="64"/>
      <c r="MBJ15" s="64"/>
      <c r="MBK15" s="64"/>
      <c r="MBL15" s="64"/>
      <c r="MBM15" s="64"/>
      <c r="MBN15" s="64"/>
      <c r="MBO15" s="64"/>
      <c r="MBP15" s="64"/>
      <c r="MBQ15" s="64"/>
      <c r="MBR15" s="64"/>
      <c r="MBS15" s="64"/>
      <c r="MBT15" s="64"/>
      <c r="MBU15" s="64"/>
      <c r="MBV15" s="64"/>
      <c r="MBW15" s="64"/>
      <c r="MBX15" s="64"/>
      <c r="MBY15" s="64"/>
      <c r="MBZ15" s="64"/>
      <c r="MCA15" s="64"/>
      <c r="MCB15" s="64"/>
      <c r="MCC15" s="64"/>
      <c r="MCD15" s="64"/>
      <c r="MCE15" s="64"/>
      <c r="MCF15" s="64"/>
      <c r="MCG15" s="64"/>
      <c r="MCH15" s="64"/>
      <c r="MCI15" s="64"/>
      <c r="MCJ15" s="64"/>
      <c r="MCK15" s="64"/>
      <c r="MCL15" s="64"/>
      <c r="MCM15" s="64"/>
      <c r="MCN15" s="64"/>
      <c r="MCO15" s="64"/>
      <c r="MCP15" s="64"/>
      <c r="MCQ15" s="64"/>
      <c r="MCR15" s="64"/>
      <c r="MCS15" s="64"/>
      <c r="MCT15" s="64"/>
      <c r="MCU15" s="64"/>
      <c r="MCV15" s="64"/>
      <c r="MDC15" s="64"/>
      <c r="MDD15" s="64"/>
      <c r="MDE15" s="64"/>
      <c r="MDF15" s="64"/>
      <c r="MDG15" s="64"/>
      <c r="MDH15" s="64"/>
      <c r="MDI15" s="64"/>
      <c r="MDJ15" s="64"/>
      <c r="MDK15" s="64"/>
      <c r="MDL15" s="64"/>
      <c r="MDM15" s="64"/>
      <c r="MDN15" s="64"/>
      <c r="MDO15" s="64"/>
      <c r="MDP15" s="64"/>
      <c r="MDQ15" s="64"/>
      <c r="MDR15" s="64"/>
      <c r="MDS15" s="64"/>
      <c r="MDT15" s="64"/>
      <c r="MDU15" s="64"/>
      <c r="MDV15" s="64"/>
      <c r="MDW15" s="64"/>
      <c r="MDX15" s="64"/>
      <c r="MDY15" s="64"/>
      <c r="MDZ15" s="64"/>
      <c r="MEA15" s="64"/>
      <c r="MEB15" s="64"/>
      <c r="MEC15" s="64"/>
      <c r="MED15" s="64"/>
      <c r="MEE15" s="64"/>
      <c r="MEF15" s="64"/>
      <c r="MEG15" s="64"/>
      <c r="MEH15" s="64"/>
      <c r="MEI15" s="64"/>
      <c r="MEJ15" s="64"/>
      <c r="MEK15" s="64"/>
      <c r="MEL15" s="64"/>
      <c r="MEM15" s="64"/>
      <c r="MEN15" s="64"/>
      <c r="MEO15" s="64"/>
      <c r="MEP15" s="64"/>
      <c r="MEQ15" s="64"/>
      <c r="MER15" s="64"/>
      <c r="MES15" s="64"/>
      <c r="MET15" s="64"/>
      <c r="MEU15" s="64"/>
      <c r="MEV15" s="64"/>
      <c r="MEW15" s="64"/>
      <c r="MEX15" s="64"/>
      <c r="MEY15" s="64"/>
      <c r="MEZ15" s="64"/>
      <c r="MFA15" s="64"/>
      <c r="MFB15" s="64"/>
      <c r="MFC15" s="64"/>
      <c r="MFD15" s="64"/>
      <c r="MFE15" s="64"/>
      <c r="MFF15" s="64"/>
      <c r="MFG15" s="64"/>
      <c r="MFH15" s="64"/>
      <c r="MFI15" s="64"/>
      <c r="MFJ15" s="64"/>
      <c r="MFK15" s="64"/>
      <c r="MFL15" s="64"/>
      <c r="MFM15" s="64"/>
      <c r="MFN15" s="64"/>
      <c r="MFO15" s="64"/>
      <c r="MFP15" s="64"/>
      <c r="MFQ15" s="64"/>
      <c r="MFR15" s="64"/>
      <c r="MFS15" s="64"/>
      <c r="MFT15" s="64"/>
      <c r="MFU15" s="64"/>
      <c r="MFV15" s="64"/>
      <c r="MFW15" s="64"/>
      <c r="MFX15" s="64"/>
      <c r="MFY15" s="64"/>
      <c r="MFZ15" s="64"/>
      <c r="MGA15" s="64"/>
      <c r="MGB15" s="64"/>
      <c r="MGC15" s="64"/>
      <c r="MGD15" s="64"/>
      <c r="MGE15" s="64"/>
      <c r="MGF15" s="64"/>
      <c r="MGG15" s="64"/>
      <c r="MGH15" s="64"/>
      <c r="MGI15" s="64"/>
      <c r="MGJ15" s="64"/>
      <c r="MGK15" s="64"/>
      <c r="MGL15" s="64"/>
      <c r="MGM15" s="64"/>
      <c r="MGN15" s="64"/>
      <c r="MGO15" s="64"/>
      <c r="MGP15" s="64"/>
      <c r="MGQ15" s="64"/>
      <c r="MGR15" s="64"/>
      <c r="MGS15" s="64"/>
      <c r="MGT15" s="64"/>
      <c r="MGU15" s="64"/>
      <c r="MGV15" s="64"/>
      <c r="MGW15" s="64"/>
      <c r="MGX15" s="64"/>
      <c r="MGY15" s="64"/>
      <c r="MGZ15" s="64"/>
      <c r="MHA15" s="64"/>
      <c r="MHB15" s="64"/>
      <c r="MHC15" s="64"/>
      <c r="MHD15" s="64"/>
      <c r="MHE15" s="64"/>
      <c r="MHF15" s="64"/>
      <c r="MHG15" s="64"/>
      <c r="MHH15" s="64"/>
      <c r="MHI15" s="64"/>
      <c r="MHJ15" s="64"/>
      <c r="MHK15" s="64"/>
      <c r="MHL15" s="64"/>
      <c r="MHM15" s="64"/>
      <c r="MHN15" s="64"/>
      <c r="MHO15" s="64"/>
      <c r="MHP15" s="64"/>
      <c r="MHQ15" s="64"/>
      <c r="MHR15" s="64"/>
      <c r="MHS15" s="64"/>
      <c r="MHT15" s="64"/>
      <c r="MHU15" s="64"/>
      <c r="MHV15" s="64"/>
      <c r="MHW15" s="64"/>
      <c r="MHX15" s="64"/>
      <c r="MHY15" s="64"/>
      <c r="MHZ15" s="64"/>
      <c r="MIA15" s="64"/>
      <c r="MIB15" s="64"/>
      <c r="MIC15" s="64"/>
      <c r="MID15" s="64"/>
      <c r="MIE15" s="64"/>
      <c r="MIF15" s="64"/>
      <c r="MIG15" s="64"/>
      <c r="MIH15" s="64"/>
      <c r="MII15" s="64"/>
      <c r="MIJ15" s="64"/>
      <c r="MIK15" s="64"/>
      <c r="MIL15" s="64"/>
      <c r="MIM15" s="64"/>
      <c r="MIN15" s="64"/>
      <c r="MIO15" s="64"/>
      <c r="MIP15" s="64"/>
      <c r="MIQ15" s="64"/>
      <c r="MIR15" s="64"/>
      <c r="MIS15" s="64"/>
      <c r="MIT15" s="64"/>
      <c r="MIU15" s="64"/>
      <c r="MIV15" s="64"/>
      <c r="MIW15" s="64"/>
      <c r="MIX15" s="64"/>
      <c r="MIY15" s="64"/>
      <c r="MIZ15" s="64"/>
      <c r="MJA15" s="64"/>
      <c r="MJB15" s="64"/>
      <c r="MJC15" s="64"/>
      <c r="MJD15" s="64"/>
      <c r="MJE15" s="64"/>
      <c r="MJF15" s="64"/>
      <c r="MJG15" s="64"/>
      <c r="MJH15" s="64"/>
      <c r="MJI15" s="64"/>
      <c r="MJJ15" s="64"/>
      <c r="MJK15" s="64"/>
      <c r="MJL15" s="64"/>
      <c r="MJM15" s="64"/>
      <c r="MJN15" s="64"/>
      <c r="MJO15" s="64"/>
      <c r="MJP15" s="64"/>
      <c r="MJQ15" s="64"/>
      <c r="MJR15" s="64"/>
      <c r="MJS15" s="64"/>
      <c r="MJT15" s="64"/>
      <c r="MJU15" s="64"/>
      <c r="MJV15" s="64"/>
      <c r="MJW15" s="64"/>
      <c r="MJX15" s="64"/>
      <c r="MJY15" s="64"/>
      <c r="MJZ15" s="64"/>
      <c r="MKA15" s="64"/>
      <c r="MKB15" s="64"/>
      <c r="MKC15" s="64"/>
      <c r="MKD15" s="64"/>
      <c r="MKE15" s="64"/>
      <c r="MKF15" s="64"/>
      <c r="MKG15" s="64"/>
      <c r="MKH15" s="64"/>
      <c r="MKI15" s="64"/>
      <c r="MKJ15" s="64"/>
      <c r="MKK15" s="64"/>
      <c r="MKL15" s="64"/>
      <c r="MKM15" s="64"/>
      <c r="MKN15" s="64"/>
      <c r="MKO15" s="64"/>
      <c r="MKP15" s="64"/>
      <c r="MKQ15" s="64"/>
      <c r="MKR15" s="64"/>
      <c r="MKS15" s="64"/>
      <c r="MKT15" s="64"/>
      <c r="MKU15" s="64"/>
      <c r="MKV15" s="64"/>
      <c r="MKW15" s="64"/>
      <c r="MKX15" s="64"/>
      <c r="MKY15" s="64"/>
      <c r="MKZ15" s="64"/>
      <c r="MLA15" s="64"/>
      <c r="MLB15" s="64"/>
      <c r="MLC15" s="64"/>
      <c r="MLD15" s="64"/>
      <c r="MLE15" s="64"/>
      <c r="MLF15" s="64"/>
      <c r="MLG15" s="64"/>
      <c r="MLH15" s="64"/>
      <c r="MLI15" s="64"/>
      <c r="MLJ15" s="64"/>
      <c r="MLK15" s="64"/>
      <c r="MLL15" s="64"/>
      <c r="MLM15" s="64"/>
      <c r="MLN15" s="64"/>
      <c r="MLO15" s="64"/>
      <c r="MLP15" s="64"/>
      <c r="MLQ15" s="64"/>
      <c r="MLR15" s="64"/>
      <c r="MLS15" s="64"/>
      <c r="MLT15" s="64"/>
      <c r="MLU15" s="64"/>
      <c r="MLV15" s="64"/>
      <c r="MLW15" s="64"/>
      <c r="MLX15" s="64"/>
      <c r="MLY15" s="64"/>
      <c r="MLZ15" s="64"/>
      <c r="MMA15" s="64"/>
      <c r="MMB15" s="64"/>
      <c r="MMC15" s="64"/>
      <c r="MMD15" s="64"/>
      <c r="MME15" s="64"/>
      <c r="MMF15" s="64"/>
      <c r="MMG15" s="64"/>
      <c r="MMH15" s="64"/>
      <c r="MMI15" s="64"/>
      <c r="MMJ15" s="64"/>
      <c r="MMK15" s="64"/>
      <c r="MML15" s="64"/>
      <c r="MMM15" s="64"/>
      <c r="MMN15" s="64"/>
      <c r="MMO15" s="64"/>
      <c r="MMP15" s="64"/>
      <c r="MMQ15" s="64"/>
      <c r="MMR15" s="64"/>
      <c r="MMY15" s="64"/>
      <c r="MMZ15" s="64"/>
      <c r="MNA15" s="64"/>
      <c r="MNB15" s="64"/>
      <c r="MNC15" s="64"/>
      <c r="MND15" s="64"/>
      <c r="MNE15" s="64"/>
      <c r="MNF15" s="64"/>
      <c r="MNG15" s="64"/>
      <c r="MNH15" s="64"/>
      <c r="MNI15" s="64"/>
      <c r="MNJ15" s="64"/>
      <c r="MNK15" s="64"/>
      <c r="MNL15" s="64"/>
      <c r="MNM15" s="64"/>
      <c r="MNN15" s="64"/>
      <c r="MNO15" s="64"/>
      <c r="MNP15" s="64"/>
      <c r="MNQ15" s="64"/>
      <c r="MNR15" s="64"/>
      <c r="MNS15" s="64"/>
      <c r="MNT15" s="64"/>
      <c r="MNU15" s="64"/>
      <c r="MNV15" s="64"/>
      <c r="MNW15" s="64"/>
      <c r="MNX15" s="64"/>
      <c r="MNY15" s="64"/>
      <c r="MNZ15" s="64"/>
      <c r="MOA15" s="64"/>
      <c r="MOB15" s="64"/>
      <c r="MOC15" s="64"/>
      <c r="MOD15" s="64"/>
      <c r="MOE15" s="64"/>
      <c r="MOF15" s="64"/>
      <c r="MOG15" s="64"/>
      <c r="MOH15" s="64"/>
      <c r="MOI15" s="64"/>
      <c r="MOJ15" s="64"/>
      <c r="MOK15" s="64"/>
      <c r="MOL15" s="64"/>
      <c r="MOM15" s="64"/>
      <c r="MON15" s="64"/>
      <c r="MOO15" s="64"/>
      <c r="MOP15" s="64"/>
      <c r="MOQ15" s="64"/>
      <c r="MOR15" s="64"/>
      <c r="MOS15" s="64"/>
      <c r="MOT15" s="64"/>
      <c r="MOU15" s="64"/>
      <c r="MOV15" s="64"/>
      <c r="MOW15" s="64"/>
      <c r="MOX15" s="64"/>
      <c r="MOY15" s="64"/>
      <c r="MOZ15" s="64"/>
      <c r="MPA15" s="64"/>
      <c r="MPB15" s="64"/>
      <c r="MPC15" s="64"/>
      <c r="MPD15" s="64"/>
      <c r="MPE15" s="64"/>
      <c r="MPF15" s="64"/>
      <c r="MPG15" s="64"/>
      <c r="MPH15" s="64"/>
      <c r="MPI15" s="64"/>
      <c r="MPJ15" s="64"/>
      <c r="MPK15" s="64"/>
      <c r="MPL15" s="64"/>
      <c r="MPM15" s="64"/>
      <c r="MPN15" s="64"/>
      <c r="MPO15" s="64"/>
      <c r="MPP15" s="64"/>
      <c r="MPQ15" s="64"/>
      <c r="MPR15" s="64"/>
      <c r="MPS15" s="64"/>
      <c r="MPT15" s="64"/>
      <c r="MPU15" s="64"/>
      <c r="MPV15" s="64"/>
      <c r="MPW15" s="64"/>
      <c r="MPX15" s="64"/>
      <c r="MPY15" s="64"/>
      <c r="MPZ15" s="64"/>
      <c r="MQA15" s="64"/>
      <c r="MQB15" s="64"/>
      <c r="MQC15" s="64"/>
      <c r="MQD15" s="64"/>
      <c r="MQE15" s="64"/>
      <c r="MQF15" s="64"/>
      <c r="MQG15" s="64"/>
      <c r="MQH15" s="64"/>
      <c r="MQI15" s="64"/>
      <c r="MQJ15" s="64"/>
      <c r="MQK15" s="64"/>
      <c r="MQL15" s="64"/>
      <c r="MQM15" s="64"/>
      <c r="MQN15" s="64"/>
      <c r="MQO15" s="64"/>
      <c r="MQP15" s="64"/>
      <c r="MQQ15" s="64"/>
      <c r="MQR15" s="64"/>
      <c r="MQS15" s="64"/>
      <c r="MQT15" s="64"/>
      <c r="MQU15" s="64"/>
      <c r="MQV15" s="64"/>
      <c r="MQW15" s="64"/>
      <c r="MQX15" s="64"/>
      <c r="MQY15" s="64"/>
      <c r="MQZ15" s="64"/>
      <c r="MRA15" s="64"/>
      <c r="MRB15" s="64"/>
      <c r="MRC15" s="64"/>
      <c r="MRD15" s="64"/>
      <c r="MRE15" s="64"/>
      <c r="MRF15" s="64"/>
      <c r="MRG15" s="64"/>
      <c r="MRH15" s="64"/>
      <c r="MRI15" s="64"/>
      <c r="MRJ15" s="64"/>
      <c r="MRK15" s="64"/>
      <c r="MRL15" s="64"/>
      <c r="MRM15" s="64"/>
      <c r="MRN15" s="64"/>
      <c r="MRO15" s="64"/>
      <c r="MRP15" s="64"/>
      <c r="MRQ15" s="64"/>
      <c r="MRR15" s="64"/>
      <c r="MRS15" s="64"/>
      <c r="MRT15" s="64"/>
      <c r="MRU15" s="64"/>
      <c r="MRV15" s="64"/>
      <c r="MRW15" s="64"/>
      <c r="MRX15" s="64"/>
      <c r="MRY15" s="64"/>
      <c r="MRZ15" s="64"/>
      <c r="MSA15" s="64"/>
      <c r="MSB15" s="64"/>
      <c r="MSC15" s="64"/>
      <c r="MSD15" s="64"/>
      <c r="MSE15" s="64"/>
      <c r="MSF15" s="64"/>
      <c r="MSG15" s="64"/>
      <c r="MSH15" s="64"/>
      <c r="MSI15" s="64"/>
      <c r="MSJ15" s="64"/>
      <c r="MSK15" s="64"/>
      <c r="MSL15" s="64"/>
      <c r="MSM15" s="64"/>
      <c r="MSN15" s="64"/>
      <c r="MSO15" s="64"/>
      <c r="MSP15" s="64"/>
      <c r="MSQ15" s="64"/>
      <c r="MSR15" s="64"/>
      <c r="MSS15" s="64"/>
      <c r="MST15" s="64"/>
      <c r="MSU15" s="64"/>
      <c r="MSV15" s="64"/>
      <c r="MSW15" s="64"/>
      <c r="MSX15" s="64"/>
      <c r="MSY15" s="64"/>
      <c r="MSZ15" s="64"/>
      <c r="MTA15" s="64"/>
      <c r="MTB15" s="64"/>
      <c r="MTC15" s="64"/>
      <c r="MTD15" s="64"/>
      <c r="MTE15" s="64"/>
      <c r="MTF15" s="64"/>
      <c r="MTG15" s="64"/>
      <c r="MTH15" s="64"/>
      <c r="MTI15" s="64"/>
      <c r="MTJ15" s="64"/>
      <c r="MTK15" s="64"/>
      <c r="MTL15" s="64"/>
      <c r="MTM15" s="64"/>
      <c r="MTN15" s="64"/>
      <c r="MTO15" s="64"/>
      <c r="MTP15" s="64"/>
      <c r="MTQ15" s="64"/>
      <c r="MTR15" s="64"/>
      <c r="MTS15" s="64"/>
      <c r="MTT15" s="64"/>
      <c r="MTU15" s="64"/>
      <c r="MTV15" s="64"/>
      <c r="MTW15" s="64"/>
      <c r="MTX15" s="64"/>
      <c r="MTY15" s="64"/>
      <c r="MTZ15" s="64"/>
      <c r="MUA15" s="64"/>
      <c r="MUB15" s="64"/>
      <c r="MUC15" s="64"/>
      <c r="MUD15" s="64"/>
      <c r="MUE15" s="64"/>
      <c r="MUF15" s="64"/>
      <c r="MUG15" s="64"/>
      <c r="MUH15" s="64"/>
      <c r="MUI15" s="64"/>
      <c r="MUJ15" s="64"/>
      <c r="MUK15" s="64"/>
      <c r="MUL15" s="64"/>
      <c r="MUM15" s="64"/>
      <c r="MUN15" s="64"/>
      <c r="MUO15" s="64"/>
      <c r="MUP15" s="64"/>
      <c r="MUQ15" s="64"/>
      <c r="MUR15" s="64"/>
      <c r="MUS15" s="64"/>
      <c r="MUT15" s="64"/>
      <c r="MUU15" s="64"/>
      <c r="MUV15" s="64"/>
      <c r="MUW15" s="64"/>
      <c r="MUX15" s="64"/>
      <c r="MUY15" s="64"/>
      <c r="MUZ15" s="64"/>
      <c r="MVA15" s="64"/>
      <c r="MVB15" s="64"/>
      <c r="MVC15" s="64"/>
      <c r="MVD15" s="64"/>
      <c r="MVE15" s="64"/>
      <c r="MVF15" s="64"/>
      <c r="MVG15" s="64"/>
      <c r="MVH15" s="64"/>
      <c r="MVI15" s="64"/>
      <c r="MVJ15" s="64"/>
      <c r="MVK15" s="64"/>
      <c r="MVL15" s="64"/>
      <c r="MVM15" s="64"/>
      <c r="MVN15" s="64"/>
      <c r="MVO15" s="64"/>
      <c r="MVP15" s="64"/>
      <c r="MVQ15" s="64"/>
      <c r="MVR15" s="64"/>
      <c r="MVS15" s="64"/>
      <c r="MVT15" s="64"/>
      <c r="MVU15" s="64"/>
      <c r="MVV15" s="64"/>
      <c r="MVW15" s="64"/>
      <c r="MVX15" s="64"/>
      <c r="MVY15" s="64"/>
      <c r="MVZ15" s="64"/>
      <c r="MWA15" s="64"/>
      <c r="MWB15" s="64"/>
      <c r="MWC15" s="64"/>
      <c r="MWD15" s="64"/>
      <c r="MWE15" s="64"/>
      <c r="MWF15" s="64"/>
      <c r="MWG15" s="64"/>
      <c r="MWH15" s="64"/>
      <c r="MWI15" s="64"/>
      <c r="MWJ15" s="64"/>
      <c r="MWK15" s="64"/>
      <c r="MWL15" s="64"/>
      <c r="MWM15" s="64"/>
      <c r="MWN15" s="64"/>
      <c r="MWU15" s="64"/>
      <c r="MWV15" s="64"/>
      <c r="MWW15" s="64"/>
      <c r="MWX15" s="64"/>
      <c r="MWY15" s="64"/>
      <c r="MWZ15" s="64"/>
      <c r="MXA15" s="64"/>
      <c r="MXB15" s="64"/>
      <c r="MXC15" s="64"/>
      <c r="MXD15" s="64"/>
      <c r="MXE15" s="64"/>
      <c r="MXF15" s="64"/>
      <c r="MXG15" s="64"/>
      <c r="MXH15" s="64"/>
      <c r="MXI15" s="64"/>
      <c r="MXJ15" s="64"/>
      <c r="MXK15" s="64"/>
      <c r="MXL15" s="64"/>
      <c r="MXM15" s="64"/>
      <c r="MXN15" s="64"/>
      <c r="MXO15" s="64"/>
      <c r="MXP15" s="64"/>
      <c r="MXQ15" s="64"/>
      <c r="MXR15" s="64"/>
      <c r="MXS15" s="64"/>
      <c r="MXT15" s="64"/>
      <c r="MXU15" s="64"/>
      <c r="MXV15" s="64"/>
      <c r="MXW15" s="64"/>
      <c r="MXX15" s="64"/>
      <c r="MXY15" s="64"/>
      <c r="MXZ15" s="64"/>
      <c r="MYA15" s="64"/>
      <c r="MYB15" s="64"/>
      <c r="MYC15" s="64"/>
      <c r="MYD15" s="64"/>
      <c r="MYE15" s="64"/>
      <c r="MYF15" s="64"/>
      <c r="MYG15" s="64"/>
      <c r="MYH15" s="64"/>
      <c r="MYI15" s="64"/>
      <c r="MYJ15" s="64"/>
      <c r="MYK15" s="64"/>
      <c r="MYL15" s="64"/>
      <c r="MYM15" s="64"/>
      <c r="MYN15" s="64"/>
      <c r="MYO15" s="64"/>
      <c r="MYP15" s="64"/>
      <c r="MYQ15" s="64"/>
      <c r="MYR15" s="64"/>
      <c r="MYS15" s="64"/>
      <c r="MYT15" s="64"/>
      <c r="MYU15" s="64"/>
      <c r="MYV15" s="64"/>
      <c r="MYW15" s="64"/>
      <c r="MYX15" s="64"/>
      <c r="MYY15" s="64"/>
      <c r="MYZ15" s="64"/>
      <c r="MZA15" s="64"/>
      <c r="MZB15" s="64"/>
      <c r="MZC15" s="64"/>
      <c r="MZD15" s="64"/>
      <c r="MZE15" s="64"/>
      <c r="MZF15" s="64"/>
      <c r="MZG15" s="64"/>
      <c r="MZH15" s="64"/>
      <c r="MZI15" s="64"/>
      <c r="MZJ15" s="64"/>
      <c r="MZK15" s="64"/>
      <c r="MZL15" s="64"/>
      <c r="MZM15" s="64"/>
      <c r="MZN15" s="64"/>
      <c r="MZO15" s="64"/>
      <c r="MZP15" s="64"/>
      <c r="MZQ15" s="64"/>
      <c r="MZR15" s="64"/>
      <c r="MZS15" s="64"/>
      <c r="MZT15" s="64"/>
      <c r="MZU15" s="64"/>
      <c r="MZV15" s="64"/>
      <c r="MZW15" s="64"/>
      <c r="MZX15" s="64"/>
      <c r="MZY15" s="64"/>
      <c r="MZZ15" s="64"/>
      <c r="NAA15" s="64"/>
      <c r="NAB15" s="64"/>
      <c r="NAC15" s="64"/>
      <c r="NAD15" s="64"/>
      <c r="NAE15" s="64"/>
      <c r="NAF15" s="64"/>
      <c r="NAG15" s="64"/>
      <c r="NAH15" s="64"/>
      <c r="NAI15" s="64"/>
      <c r="NAJ15" s="64"/>
      <c r="NAK15" s="64"/>
      <c r="NAL15" s="64"/>
      <c r="NAM15" s="64"/>
      <c r="NAN15" s="64"/>
      <c r="NAO15" s="64"/>
      <c r="NAP15" s="64"/>
      <c r="NAQ15" s="64"/>
      <c r="NAR15" s="64"/>
      <c r="NAS15" s="64"/>
      <c r="NAT15" s="64"/>
      <c r="NAU15" s="64"/>
      <c r="NAV15" s="64"/>
      <c r="NAW15" s="64"/>
      <c r="NAX15" s="64"/>
      <c r="NAY15" s="64"/>
      <c r="NAZ15" s="64"/>
      <c r="NBA15" s="64"/>
      <c r="NBB15" s="64"/>
      <c r="NBC15" s="64"/>
      <c r="NBD15" s="64"/>
      <c r="NBE15" s="64"/>
      <c r="NBF15" s="64"/>
      <c r="NBG15" s="64"/>
      <c r="NBH15" s="64"/>
      <c r="NBI15" s="64"/>
      <c r="NBJ15" s="64"/>
      <c r="NBK15" s="64"/>
      <c r="NBL15" s="64"/>
      <c r="NBM15" s="64"/>
      <c r="NBN15" s="64"/>
      <c r="NBO15" s="64"/>
      <c r="NBP15" s="64"/>
      <c r="NBQ15" s="64"/>
      <c r="NBR15" s="64"/>
      <c r="NBS15" s="64"/>
      <c r="NBT15" s="64"/>
      <c r="NBU15" s="64"/>
      <c r="NBV15" s="64"/>
      <c r="NBW15" s="64"/>
      <c r="NBX15" s="64"/>
      <c r="NBY15" s="64"/>
      <c r="NBZ15" s="64"/>
      <c r="NCA15" s="64"/>
      <c r="NCB15" s="64"/>
      <c r="NCC15" s="64"/>
      <c r="NCD15" s="64"/>
      <c r="NCE15" s="64"/>
      <c r="NCF15" s="64"/>
      <c r="NCG15" s="64"/>
      <c r="NCH15" s="64"/>
      <c r="NCI15" s="64"/>
      <c r="NCJ15" s="64"/>
      <c r="NCK15" s="64"/>
      <c r="NCL15" s="64"/>
      <c r="NCM15" s="64"/>
      <c r="NCN15" s="64"/>
      <c r="NCO15" s="64"/>
      <c r="NCP15" s="64"/>
      <c r="NCQ15" s="64"/>
      <c r="NCR15" s="64"/>
      <c r="NCS15" s="64"/>
      <c r="NCT15" s="64"/>
      <c r="NCU15" s="64"/>
      <c r="NCV15" s="64"/>
      <c r="NCW15" s="64"/>
      <c r="NCX15" s="64"/>
      <c r="NCY15" s="64"/>
      <c r="NCZ15" s="64"/>
      <c r="NDA15" s="64"/>
      <c r="NDB15" s="64"/>
      <c r="NDC15" s="64"/>
      <c r="NDD15" s="64"/>
      <c r="NDE15" s="64"/>
      <c r="NDF15" s="64"/>
      <c r="NDG15" s="64"/>
      <c r="NDH15" s="64"/>
      <c r="NDI15" s="64"/>
      <c r="NDJ15" s="64"/>
      <c r="NDK15" s="64"/>
      <c r="NDL15" s="64"/>
      <c r="NDM15" s="64"/>
      <c r="NDN15" s="64"/>
      <c r="NDO15" s="64"/>
      <c r="NDP15" s="64"/>
      <c r="NDQ15" s="64"/>
      <c r="NDR15" s="64"/>
      <c r="NDS15" s="64"/>
      <c r="NDT15" s="64"/>
      <c r="NDU15" s="64"/>
      <c r="NDV15" s="64"/>
      <c r="NDW15" s="64"/>
      <c r="NDX15" s="64"/>
      <c r="NDY15" s="64"/>
      <c r="NDZ15" s="64"/>
      <c r="NEA15" s="64"/>
      <c r="NEB15" s="64"/>
      <c r="NEC15" s="64"/>
      <c r="NED15" s="64"/>
      <c r="NEE15" s="64"/>
      <c r="NEF15" s="64"/>
      <c r="NEG15" s="64"/>
      <c r="NEH15" s="64"/>
      <c r="NEI15" s="64"/>
      <c r="NEJ15" s="64"/>
      <c r="NEK15" s="64"/>
      <c r="NEL15" s="64"/>
      <c r="NEM15" s="64"/>
      <c r="NEN15" s="64"/>
      <c r="NEO15" s="64"/>
      <c r="NEP15" s="64"/>
      <c r="NEQ15" s="64"/>
      <c r="NER15" s="64"/>
      <c r="NES15" s="64"/>
      <c r="NET15" s="64"/>
      <c r="NEU15" s="64"/>
      <c r="NEV15" s="64"/>
      <c r="NEW15" s="64"/>
      <c r="NEX15" s="64"/>
      <c r="NEY15" s="64"/>
      <c r="NEZ15" s="64"/>
      <c r="NFA15" s="64"/>
      <c r="NFB15" s="64"/>
      <c r="NFC15" s="64"/>
      <c r="NFD15" s="64"/>
      <c r="NFE15" s="64"/>
      <c r="NFF15" s="64"/>
      <c r="NFG15" s="64"/>
      <c r="NFH15" s="64"/>
      <c r="NFI15" s="64"/>
      <c r="NFJ15" s="64"/>
      <c r="NFK15" s="64"/>
      <c r="NFL15" s="64"/>
      <c r="NFM15" s="64"/>
      <c r="NFN15" s="64"/>
      <c r="NFO15" s="64"/>
      <c r="NFP15" s="64"/>
      <c r="NFQ15" s="64"/>
      <c r="NFR15" s="64"/>
      <c r="NFS15" s="64"/>
      <c r="NFT15" s="64"/>
      <c r="NFU15" s="64"/>
      <c r="NFV15" s="64"/>
      <c r="NFW15" s="64"/>
      <c r="NFX15" s="64"/>
      <c r="NFY15" s="64"/>
      <c r="NFZ15" s="64"/>
      <c r="NGA15" s="64"/>
      <c r="NGB15" s="64"/>
      <c r="NGC15" s="64"/>
      <c r="NGD15" s="64"/>
      <c r="NGE15" s="64"/>
      <c r="NGF15" s="64"/>
      <c r="NGG15" s="64"/>
      <c r="NGH15" s="64"/>
      <c r="NGI15" s="64"/>
      <c r="NGJ15" s="64"/>
      <c r="NGQ15" s="64"/>
      <c r="NGR15" s="64"/>
      <c r="NGS15" s="64"/>
      <c r="NGT15" s="64"/>
      <c r="NGU15" s="64"/>
      <c r="NGV15" s="64"/>
      <c r="NGW15" s="64"/>
      <c r="NGX15" s="64"/>
      <c r="NGY15" s="64"/>
      <c r="NGZ15" s="64"/>
      <c r="NHA15" s="64"/>
      <c r="NHB15" s="64"/>
      <c r="NHC15" s="64"/>
      <c r="NHD15" s="64"/>
      <c r="NHE15" s="64"/>
      <c r="NHF15" s="64"/>
      <c r="NHG15" s="64"/>
      <c r="NHH15" s="64"/>
      <c r="NHI15" s="64"/>
      <c r="NHJ15" s="64"/>
      <c r="NHK15" s="64"/>
      <c r="NHL15" s="64"/>
      <c r="NHM15" s="64"/>
      <c r="NHN15" s="64"/>
      <c r="NHO15" s="64"/>
      <c r="NHP15" s="64"/>
      <c r="NHQ15" s="64"/>
      <c r="NHR15" s="64"/>
      <c r="NHS15" s="64"/>
      <c r="NHT15" s="64"/>
      <c r="NHU15" s="64"/>
      <c r="NHV15" s="64"/>
      <c r="NHW15" s="64"/>
      <c r="NHX15" s="64"/>
      <c r="NHY15" s="64"/>
      <c r="NHZ15" s="64"/>
      <c r="NIA15" s="64"/>
      <c r="NIB15" s="64"/>
      <c r="NIC15" s="64"/>
      <c r="NID15" s="64"/>
      <c r="NIE15" s="64"/>
      <c r="NIF15" s="64"/>
      <c r="NIG15" s="64"/>
      <c r="NIH15" s="64"/>
      <c r="NII15" s="64"/>
      <c r="NIJ15" s="64"/>
      <c r="NIK15" s="64"/>
      <c r="NIL15" s="64"/>
      <c r="NIM15" s="64"/>
      <c r="NIN15" s="64"/>
      <c r="NIO15" s="64"/>
      <c r="NIP15" s="64"/>
      <c r="NIQ15" s="64"/>
      <c r="NIR15" s="64"/>
      <c r="NIS15" s="64"/>
      <c r="NIT15" s="64"/>
      <c r="NIU15" s="64"/>
      <c r="NIV15" s="64"/>
      <c r="NIW15" s="64"/>
      <c r="NIX15" s="64"/>
      <c r="NIY15" s="64"/>
      <c r="NIZ15" s="64"/>
      <c r="NJA15" s="64"/>
      <c r="NJB15" s="64"/>
      <c r="NJC15" s="64"/>
      <c r="NJD15" s="64"/>
      <c r="NJE15" s="64"/>
      <c r="NJF15" s="64"/>
      <c r="NJG15" s="64"/>
      <c r="NJH15" s="64"/>
      <c r="NJI15" s="64"/>
      <c r="NJJ15" s="64"/>
      <c r="NJK15" s="64"/>
      <c r="NJL15" s="64"/>
      <c r="NJM15" s="64"/>
      <c r="NJN15" s="64"/>
      <c r="NJO15" s="64"/>
      <c r="NJP15" s="64"/>
      <c r="NJQ15" s="64"/>
      <c r="NJR15" s="64"/>
      <c r="NJS15" s="64"/>
      <c r="NJT15" s="64"/>
      <c r="NJU15" s="64"/>
      <c r="NJV15" s="64"/>
      <c r="NJW15" s="64"/>
      <c r="NJX15" s="64"/>
      <c r="NJY15" s="64"/>
      <c r="NJZ15" s="64"/>
      <c r="NKA15" s="64"/>
      <c r="NKB15" s="64"/>
      <c r="NKC15" s="64"/>
      <c r="NKD15" s="64"/>
      <c r="NKE15" s="64"/>
      <c r="NKF15" s="64"/>
      <c r="NKG15" s="64"/>
      <c r="NKH15" s="64"/>
      <c r="NKI15" s="64"/>
      <c r="NKJ15" s="64"/>
      <c r="NKK15" s="64"/>
      <c r="NKL15" s="64"/>
      <c r="NKM15" s="64"/>
      <c r="NKN15" s="64"/>
      <c r="NKO15" s="64"/>
      <c r="NKP15" s="64"/>
      <c r="NKQ15" s="64"/>
      <c r="NKR15" s="64"/>
      <c r="NKS15" s="64"/>
      <c r="NKT15" s="64"/>
      <c r="NKU15" s="64"/>
      <c r="NKV15" s="64"/>
      <c r="NKW15" s="64"/>
      <c r="NKX15" s="64"/>
      <c r="NKY15" s="64"/>
      <c r="NKZ15" s="64"/>
      <c r="NLA15" s="64"/>
      <c r="NLB15" s="64"/>
      <c r="NLC15" s="64"/>
      <c r="NLD15" s="64"/>
      <c r="NLE15" s="64"/>
      <c r="NLF15" s="64"/>
      <c r="NLG15" s="64"/>
      <c r="NLH15" s="64"/>
      <c r="NLI15" s="64"/>
      <c r="NLJ15" s="64"/>
      <c r="NLK15" s="64"/>
      <c r="NLL15" s="64"/>
      <c r="NLM15" s="64"/>
      <c r="NLN15" s="64"/>
      <c r="NLO15" s="64"/>
      <c r="NLP15" s="64"/>
      <c r="NLQ15" s="64"/>
      <c r="NLR15" s="64"/>
      <c r="NLS15" s="64"/>
      <c r="NLT15" s="64"/>
      <c r="NLU15" s="64"/>
      <c r="NLV15" s="64"/>
      <c r="NLW15" s="64"/>
      <c r="NLX15" s="64"/>
      <c r="NLY15" s="64"/>
      <c r="NLZ15" s="64"/>
      <c r="NMA15" s="64"/>
      <c r="NMB15" s="64"/>
      <c r="NMC15" s="64"/>
      <c r="NMD15" s="64"/>
      <c r="NME15" s="64"/>
      <c r="NMF15" s="64"/>
      <c r="NMG15" s="64"/>
      <c r="NMH15" s="64"/>
      <c r="NMI15" s="64"/>
      <c r="NMJ15" s="64"/>
      <c r="NMK15" s="64"/>
      <c r="NML15" s="64"/>
      <c r="NMM15" s="64"/>
      <c r="NMN15" s="64"/>
      <c r="NMO15" s="64"/>
      <c r="NMP15" s="64"/>
      <c r="NMQ15" s="64"/>
      <c r="NMR15" s="64"/>
      <c r="NMS15" s="64"/>
      <c r="NMT15" s="64"/>
      <c r="NMU15" s="64"/>
      <c r="NMV15" s="64"/>
      <c r="NMW15" s="64"/>
      <c r="NMX15" s="64"/>
      <c r="NMY15" s="64"/>
      <c r="NMZ15" s="64"/>
      <c r="NNA15" s="64"/>
      <c r="NNB15" s="64"/>
      <c r="NNC15" s="64"/>
      <c r="NND15" s="64"/>
      <c r="NNE15" s="64"/>
      <c r="NNF15" s="64"/>
      <c r="NNG15" s="64"/>
      <c r="NNH15" s="64"/>
      <c r="NNI15" s="64"/>
      <c r="NNJ15" s="64"/>
      <c r="NNK15" s="64"/>
      <c r="NNL15" s="64"/>
      <c r="NNM15" s="64"/>
      <c r="NNN15" s="64"/>
      <c r="NNO15" s="64"/>
      <c r="NNP15" s="64"/>
      <c r="NNQ15" s="64"/>
      <c r="NNR15" s="64"/>
      <c r="NNS15" s="64"/>
      <c r="NNT15" s="64"/>
      <c r="NNU15" s="64"/>
      <c r="NNV15" s="64"/>
      <c r="NNW15" s="64"/>
      <c r="NNX15" s="64"/>
      <c r="NNY15" s="64"/>
      <c r="NNZ15" s="64"/>
      <c r="NOA15" s="64"/>
      <c r="NOB15" s="64"/>
      <c r="NOC15" s="64"/>
      <c r="NOD15" s="64"/>
      <c r="NOE15" s="64"/>
      <c r="NOF15" s="64"/>
      <c r="NOG15" s="64"/>
      <c r="NOH15" s="64"/>
      <c r="NOI15" s="64"/>
      <c r="NOJ15" s="64"/>
      <c r="NOK15" s="64"/>
      <c r="NOL15" s="64"/>
      <c r="NOM15" s="64"/>
      <c r="NON15" s="64"/>
      <c r="NOO15" s="64"/>
      <c r="NOP15" s="64"/>
      <c r="NOQ15" s="64"/>
      <c r="NOR15" s="64"/>
      <c r="NOS15" s="64"/>
      <c r="NOT15" s="64"/>
      <c r="NOU15" s="64"/>
      <c r="NOV15" s="64"/>
      <c r="NOW15" s="64"/>
      <c r="NOX15" s="64"/>
      <c r="NOY15" s="64"/>
      <c r="NOZ15" s="64"/>
      <c r="NPA15" s="64"/>
      <c r="NPB15" s="64"/>
      <c r="NPC15" s="64"/>
      <c r="NPD15" s="64"/>
      <c r="NPE15" s="64"/>
      <c r="NPF15" s="64"/>
      <c r="NPG15" s="64"/>
      <c r="NPH15" s="64"/>
      <c r="NPI15" s="64"/>
      <c r="NPJ15" s="64"/>
      <c r="NPK15" s="64"/>
      <c r="NPL15" s="64"/>
      <c r="NPM15" s="64"/>
      <c r="NPN15" s="64"/>
      <c r="NPO15" s="64"/>
      <c r="NPP15" s="64"/>
      <c r="NPQ15" s="64"/>
      <c r="NPR15" s="64"/>
      <c r="NPS15" s="64"/>
      <c r="NPT15" s="64"/>
      <c r="NPU15" s="64"/>
      <c r="NPV15" s="64"/>
      <c r="NPW15" s="64"/>
      <c r="NPX15" s="64"/>
      <c r="NPY15" s="64"/>
      <c r="NPZ15" s="64"/>
      <c r="NQA15" s="64"/>
      <c r="NQB15" s="64"/>
      <c r="NQC15" s="64"/>
      <c r="NQD15" s="64"/>
      <c r="NQE15" s="64"/>
      <c r="NQF15" s="64"/>
      <c r="NQM15" s="64"/>
      <c r="NQN15" s="64"/>
      <c r="NQO15" s="64"/>
      <c r="NQP15" s="64"/>
      <c r="NQQ15" s="64"/>
      <c r="NQR15" s="64"/>
      <c r="NQS15" s="64"/>
      <c r="NQT15" s="64"/>
      <c r="NQU15" s="64"/>
      <c r="NQV15" s="64"/>
      <c r="NQW15" s="64"/>
      <c r="NQX15" s="64"/>
      <c r="NQY15" s="64"/>
      <c r="NQZ15" s="64"/>
      <c r="NRA15" s="64"/>
      <c r="NRB15" s="64"/>
      <c r="NRC15" s="64"/>
      <c r="NRD15" s="64"/>
      <c r="NRE15" s="64"/>
      <c r="NRF15" s="64"/>
      <c r="NRG15" s="64"/>
      <c r="NRH15" s="64"/>
      <c r="NRI15" s="64"/>
      <c r="NRJ15" s="64"/>
      <c r="NRK15" s="64"/>
      <c r="NRL15" s="64"/>
      <c r="NRM15" s="64"/>
      <c r="NRN15" s="64"/>
      <c r="NRO15" s="64"/>
      <c r="NRP15" s="64"/>
      <c r="NRQ15" s="64"/>
      <c r="NRR15" s="64"/>
      <c r="NRS15" s="64"/>
      <c r="NRT15" s="64"/>
      <c r="NRU15" s="64"/>
      <c r="NRV15" s="64"/>
      <c r="NRW15" s="64"/>
      <c r="NRX15" s="64"/>
      <c r="NRY15" s="64"/>
      <c r="NRZ15" s="64"/>
      <c r="NSA15" s="64"/>
      <c r="NSB15" s="64"/>
      <c r="NSC15" s="64"/>
      <c r="NSD15" s="64"/>
      <c r="NSE15" s="64"/>
      <c r="NSF15" s="64"/>
      <c r="NSG15" s="64"/>
      <c r="NSH15" s="64"/>
      <c r="NSI15" s="64"/>
      <c r="NSJ15" s="64"/>
      <c r="NSK15" s="64"/>
      <c r="NSL15" s="64"/>
      <c r="NSM15" s="64"/>
      <c r="NSN15" s="64"/>
      <c r="NSO15" s="64"/>
      <c r="NSP15" s="64"/>
      <c r="NSQ15" s="64"/>
      <c r="NSR15" s="64"/>
      <c r="NSS15" s="64"/>
      <c r="NST15" s="64"/>
      <c r="NSU15" s="64"/>
      <c r="NSV15" s="64"/>
      <c r="NSW15" s="64"/>
      <c r="NSX15" s="64"/>
      <c r="NSY15" s="64"/>
      <c r="NSZ15" s="64"/>
      <c r="NTA15" s="64"/>
      <c r="NTB15" s="64"/>
      <c r="NTC15" s="64"/>
      <c r="NTD15" s="64"/>
      <c r="NTE15" s="64"/>
      <c r="NTF15" s="64"/>
      <c r="NTG15" s="64"/>
      <c r="NTH15" s="64"/>
      <c r="NTI15" s="64"/>
      <c r="NTJ15" s="64"/>
      <c r="NTK15" s="64"/>
      <c r="NTL15" s="64"/>
      <c r="NTM15" s="64"/>
      <c r="NTN15" s="64"/>
      <c r="NTO15" s="64"/>
      <c r="NTP15" s="64"/>
      <c r="NTQ15" s="64"/>
      <c r="NTR15" s="64"/>
      <c r="NTS15" s="64"/>
      <c r="NTT15" s="64"/>
      <c r="NTU15" s="64"/>
      <c r="NTV15" s="64"/>
      <c r="NTW15" s="64"/>
      <c r="NTX15" s="64"/>
      <c r="NTY15" s="64"/>
      <c r="NTZ15" s="64"/>
      <c r="NUA15" s="64"/>
      <c r="NUB15" s="64"/>
      <c r="NUC15" s="64"/>
      <c r="NUD15" s="64"/>
      <c r="NUE15" s="64"/>
      <c r="NUF15" s="64"/>
      <c r="NUG15" s="64"/>
      <c r="NUH15" s="64"/>
      <c r="NUI15" s="64"/>
      <c r="NUJ15" s="64"/>
      <c r="NUK15" s="64"/>
      <c r="NUL15" s="64"/>
      <c r="NUM15" s="64"/>
      <c r="NUN15" s="64"/>
      <c r="NUO15" s="64"/>
      <c r="NUP15" s="64"/>
      <c r="NUQ15" s="64"/>
      <c r="NUR15" s="64"/>
      <c r="NUS15" s="64"/>
      <c r="NUT15" s="64"/>
      <c r="NUU15" s="64"/>
      <c r="NUV15" s="64"/>
      <c r="NUW15" s="64"/>
      <c r="NUX15" s="64"/>
      <c r="NUY15" s="64"/>
      <c r="NUZ15" s="64"/>
      <c r="NVA15" s="64"/>
      <c r="NVB15" s="64"/>
      <c r="NVC15" s="64"/>
      <c r="NVD15" s="64"/>
      <c r="NVE15" s="64"/>
      <c r="NVF15" s="64"/>
      <c r="NVG15" s="64"/>
      <c r="NVH15" s="64"/>
      <c r="NVI15" s="64"/>
      <c r="NVJ15" s="64"/>
      <c r="NVK15" s="64"/>
      <c r="NVL15" s="64"/>
      <c r="NVM15" s="64"/>
      <c r="NVN15" s="64"/>
      <c r="NVO15" s="64"/>
      <c r="NVP15" s="64"/>
      <c r="NVQ15" s="64"/>
      <c r="NVR15" s="64"/>
      <c r="NVS15" s="64"/>
      <c r="NVT15" s="64"/>
      <c r="NVU15" s="64"/>
      <c r="NVV15" s="64"/>
      <c r="NVW15" s="64"/>
      <c r="NVX15" s="64"/>
      <c r="NVY15" s="64"/>
      <c r="NVZ15" s="64"/>
      <c r="NWA15" s="64"/>
      <c r="NWB15" s="64"/>
      <c r="NWC15" s="64"/>
      <c r="NWD15" s="64"/>
      <c r="NWE15" s="64"/>
      <c r="NWF15" s="64"/>
      <c r="NWG15" s="64"/>
      <c r="NWH15" s="64"/>
      <c r="NWI15" s="64"/>
      <c r="NWJ15" s="64"/>
      <c r="NWK15" s="64"/>
      <c r="NWL15" s="64"/>
      <c r="NWM15" s="64"/>
      <c r="NWN15" s="64"/>
      <c r="NWO15" s="64"/>
      <c r="NWP15" s="64"/>
      <c r="NWQ15" s="64"/>
      <c r="NWR15" s="64"/>
      <c r="NWS15" s="64"/>
      <c r="NWT15" s="64"/>
      <c r="NWU15" s="64"/>
      <c r="NWV15" s="64"/>
      <c r="NWW15" s="64"/>
      <c r="NWX15" s="64"/>
      <c r="NWY15" s="64"/>
      <c r="NWZ15" s="64"/>
      <c r="NXA15" s="64"/>
      <c r="NXB15" s="64"/>
      <c r="NXC15" s="64"/>
      <c r="NXD15" s="64"/>
      <c r="NXE15" s="64"/>
      <c r="NXF15" s="64"/>
      <c r="NXG15" s="64"/>
      <c r="NXH15" s="64"/>
      <c r="NXI15" s="64"/>
      <c r="NXJ15" s="64"/>
      <c r="NXK15" s="64"/>
      <c r="NXL15" s="64"/>
      <c r="NXM15" s="64"/>
      <c r="NXN15" s="64"/>
      <c r="NXO15" s="64"/>
      <c r="NXP15" s="64"/>
      <c r="NXQ15" s="64"/>
      <c r="NXR15" s="64"/>
      <c r="NXS15" s="64"/>
      <c r="NXT15" s="64"/>
      <c r="NXU15" s="64"/>
      <c r="NXV15" s="64"/>
      <c r="NXW15" s="64"/>
      <c r="NXX15" s="64"/>
      <c r="NXY15" s="64"/>
      <c r="NXZ15" s="64"/>
      <c r="NYA15" s="64"/>
      <c r="NYB15" s="64"/>
      <c r="NYC15" s="64"/>
      <c r="NYD15" s="64"/>
      <c r="NYE15" s="64"/>
      <c r="NYF15" s="64"/>
      <c r="NYG15" s="64"/>
      <c r="NYH15" s="64"/>
      <c r="NYI15" s="64"/>
      <c r="NYJ15" s="64"/>
      <c r="NYK15" s="64"/>
      <c r="NYL15" s="64"/>
      <c r="NYM15" s="64"/>
      <c r="NYN15" s="64"/>
      <c r="NYO15" s="64"/>
      <c r="NYP15" s="64"/>
      <c r="NYQ15" s="64"/>
      <c r="NYR15" s="64"/>
      <c r="NYS15" s="64"/>
      <c r="NYT15" s="64"/>
      <c r="NYU15" s="64"/>
      <c r="NYV15" s="64"/>
      <c r="NYW15" s="64"/>
      <c r="NYX15" s="64"/>
      <c r="NYY15" s="64"/>
      <c r="NYZ15" s="64"/>
      <c r="NZA15" s="64"/>
      <c r="NZB15" s="64"/>
      <c r="NZC15" s="64"/>
      <c r="NZD15" s="64"/>
      <c r="NZE15" s="64"/>
      <c r="NZF15" s="64"/>
      <c r="NZG15" s="64"/>
      <c r="NZH15" s="64"/>
      <c r="NZI15" s="64"/>
      <c r="NZJ15" s="64"/>
      <c r="NZK15" s="64"/>
      <c r="NZL15" s="64"/>
      <c r="NZM15" s="64"/>
      <c r="NZN15" s="64"/>
      <c r="NZO15" s="64"/>
      <c r="NZP15" s="64"/>
      <c r="NZQ15" s="64"/>
      <c r="NZR15" s="64"/>
      <c r="NZS15" s="64"/>
      <c r="NZT15" s="64"/>
      <c r="NZU15" s="64"/>
      <c r="NZV15" s="64"/>
      <c r="NZW15" s="64"/>
      <c r="NZX15" s="64"/>
      <c r="NZY15" s="64"/>
      <c r="NZZ15" s="64"/>
      <c r="OAA15" s="64"/>
      <c r="OAB15" s="64"/>
      <c r="OAI15" s="64"/>
      <c r="OAJ15" s="64"/>
      <c r="OAK15" s="64"/>
      <c r="OAL15" s="64"/>
      <c r="OAM15" s="64"/>
      <c r="OAN15" s="64"/>
      <c r="OAO15" s="64"/>
      <c r="OAP15" s="64"/>
      <c r="OAQ15" s="64"/>
      <c r="OAR15" s="64"/>
      <c r="OAS15" s="64"/>
      <c r="OAT15" s="64"/>
      <c r="OAU15" s="64"/>
      <c r="OAV15" s="64"/>
      <c r="OAW15" s="64"/>
      <c r="OAX15" s="64"/>
      <c r="OAY15" s="64"/>
      <c r="OAZ15" s="64"/>
      <c r="OBA15" s="64"/>
      <c r="OBB15" s="64"/>
      <c r="OBC15" s="64"/>
      <c r="OBD15" s="64"/>
      <c r="OBE15" s="64"/>
      <c r="OBF15" s="64"/>
      <c r="OBG15" s="64"/>
      <c r="OBH15" s="64"/>
      <c r="OBI15" s="64"/>
      <c r="OBJ15" s="64"/>
      <c r="OBK15" s="64"/>
      <c r="OBL15" s="64"/>
      <c r="OBM15" s="64"/>
      <c r="OBN15" s="64"/>
      <c r="OBO15" s="64"/>
      <c r="OBP15" s="64"/>
      <c r="OBQ15" s="64"/>
      <c r="OBR15" s="64"/>
      <c r="OBS15" s="64"/>
      <c r="OBT15" s="64"/>
      <c r="OBU15" s="64"/>
      <c r="OBV15" s="64"/>
      <c r="OBW15" s="64"/>
      <c r="OBX15" s="64"/>
      <c r="OBY15" s="64"/>
      <c r="OBZ15" s="64"/>
      <c r="OCA15" s="64"/>
      <c r="OCB15" s="64"/>
      <c r="OCC15" s="64"/>
      <c r="OCD15" s="64"/>
      <c r="OCE15" s="64"/>
      <c r="OCF15" s="64"/>
      <c r="OCG15" s="64"/>
      <c r="OCH15" s="64"/>
      <c r="OCI15" s="64"/>
      <c r="OCJ15" s="64"/>
      <c r="OCK15" s="64"/>
      <c r="OCL15" s="64"/>
      <c r="OCM15" s="64"/>
      <c r="OCN15" s="64"/>
      <c r="OCO15" s="64"/>
      <c r="OCP15" s="64"/>
      <c r="OCQ15" s="64"/>
      <c r="OCR15" s="64"/>
      <c r="OCS15" s="64"/>
      <c r="OCT15" s="64"/>
      <c r="OCU15" s="64"/>
      <c r="OCV15" s="64"/>
      <c r="OCW15" s="64"/>
      <c r="OCX15" s="64"/>
      <c r="OCY15" s="64"/>
      <c r="OCZ15" s="64"/>
      <c r="ODA15" s="64"/>
      <c r="ODB15" s="64"/>
      <c r="ODC15" s="64"/>
      <c r="ODD15" s="64"/>
      <c r="ODE15" s="64"/>
      <c r="ODF15" s="64"/>
      <c r="ODG15" s="64"/>
      <c r="ODH15" s="64"/>
      <c r="ODI15" s="64"/>
      <c r="ODJ15" s="64"/>
      <c r="ODK15" s="64"/>
      <c r="ODL15" s="64"/>
      <c r="ODM15" s="64"/>
      <c r="ODN15" s="64"/>
      <c r="ODO15" s="64"/>
      <c r="ODP15" s="64"/>
      <c r="ODQ15" s="64"/>
      <c r="ODR15" s="64"/>
      <c r="ODS15" s="64"/>
      <c r="ODT15" s="64"/>
      <c r="ODU15" s="64"/>
      <c r="ODV15" s="64"/>
      <c r="ODW15" s="64"/>
      <c r="ODX15" s="64"/>
      <c r="ODY15" s="64"/>
      <c r="ODZ15" s="64"/>
      <c r="OEA15" s="64"/>
      <c r="OEB15" s="64"/>
      <c r="OEC15" s="64"/>
      <c r="OED15" s="64"/>
      <c r="OEE15" s="64"/>
      <c r="OEF15" s="64"/>
      <c r="OEG15" s="64"/>
      <c r="OEH15" s="64"/>
      <c r="OEI15" s="64"/>
      <c r="OEJ15" s="64"/>
      <c r="OEK15" s="64"/>
      <c r="OEL15" s="64"/>
      <c r="OEM15" s="64"/>
      <c r="OEN15" s="64"/>
      <c r="OEO15" s="64"/>
      <c r="OEP15" s="64"/>
      <c r="OEQ15" s="64"/>
      <c r="OER15" s="64"/>
      <c r="OES15" s="64"/>
      <c r="OET15" s="64"/>
      <c r="OEU15" s="64"/>
      <c r="OEV15" s="64"/>
      <c r="OEW15" s="64"/>
      <c r="OEX15" s="64"/>
      <c r="OEY15" s="64"/>
      <c r="OEZ15" s="64"/>
      <c r="OFA15" s="64"/>
      <c r="OFB15" s="64"/>
      <c r="OFC15" s="64"/>
      <c r="OFD15" s="64"/>
      <c r="OFE15" s="64"/>
      <c r="OFF15" s="64"/>
      <c r="OFG15" s="64"/>
      <c r="OFH15" s="64"/>
      <c r="OFI15" s="64"/>
      <c r="OFJ15" s="64"/>
      <c r="OFK15" s="64"/>
      <c r="OFL15" s="64"/>
      <c r="OFM15" s="64"/>
      <c r="OFN15" s="64"/>
      <c r="OFO15" s="64"/>
      <c r="OFP15" s="64"/>
      <c r="OFQ15" s="64"/>
      <c r="OFR15" s="64"/>
      <c r="OFS15" s="64"/>
      <c r="OFT15" s="64"/>
      <c r="OFU15" s="64"/>
      <c r="OFV15" s="64"/>
      <c r="OFW15" s="64"/>
      <c r="OFX15" s="64"/>
      <c r="OFY15" s="64"/>
      <c r="OFZ15" s="64"/>
      <c r="OGA15" s="64"/>
      <c r="OGB15" s="64"/>
      <c r="OGC15" s="64"/>
      <c r="OGD15" s="64"/>
      <c r="OGE15" s="64"/>
      <c r="OGF15" s="64"/>
      <c r="OGG15" s="64"/>
      <c r="OGH15" s="64"/>
      <c r="OGI15" s="64"/>
      <c r="OGJ15" s="64"/>
      <c r="OGK15" s="64"/>
      <c r="OGL15" s="64"/>
      <c r="OGM15" s="64"/>
      <c r="OGN15" s="64"/>
      <c r="OGO15" s="64"/>
      <c r="OGP15" s="64"/>
      <c r="OGQ15" s="64"/>
      <c r="OGR15" s="64"/>
      <c r="OGS15" s="64"/>
      <c r="OGT15" s="64"/>
      <c r="OGU15" s="64"/>
      <c r="OGV15" s="64"/>
      <c r="OGW15" s="64"/>
      <c r="OGX15" s="64"/>
      <c r="OGY15" s="64"/>
      <c r="OGZ15" s="64"/>
      <c r="OHA15" s="64"/>
      <c r="OHB15" s="64"/>
      <c r="OHC15" s="64"/>
      <c r="OHD15" s="64"/>
      <c r="OHE15" s="64"/>
      <c r="OHF15" s="64"/>
      <c r="OHG15" s="64"/>
      <c r="OHH15" s="64"/>
      <c r="OHI15" s="64"/>
      <c r="OHJ15" s="64"/>
      <c r="OHK15" s="64"/>
      <c r="OHL15" s="64"/>
      <c r="OHM15" s="64"/>
      <c r="OHN15" s="64"/>
      <c r="OHO15" s="64"/>
      <c r="OHP15" s="64"/>
      <c r="OHQ15" s="64"/>
      <c r="OHR15" s="64"/>
      <c r="OHS15" s="64"/>
      <c r="OHT15" s="64"/>
      <c r="OHU15" s="64"/>
      <c r="OHV15" s="64"/>
      <c r="OHW15" s="64"/>
      <c r="OHX15" s="64"/>
      <c r="OHY15" s="64"/>
      <c r="OHZ15" s="64"/>
      <c r="OIA15" s="64"/>
      <c r="OIB15" s="64"/>
      <c r="OIC15" s="64"/>
      <c r="OID15" s="64"/>
      <c r="OIE15" s="64"/>
      <c r="OIF15" s="64"/>
      <c r="OIG15" s="64"/>
      <c r="OIH15" s="64"/>
      <c r="OII15" s="64"/>
      <c r="OIJ15" s="64"/>
      <c r="OIK15" s="64"/>
      <c r="OIL15" s="64"/>
      <c r="OIM15" s="64"/>
      <c r="OIN15" s="64"/>
      <c r="OIO15" s="64"/>
      <c r="OIP15" s="64"/>
      <c r="OIQ15" s="64"/>
      <c r="OIR15" s="64"/>
      <c r="OIS15" s="64"/>
      <c r="OIT15" s="64"/>
      <c r="OIU15" s="64"/>
      <c r="OIV15" s="64"/>
      <c r="OIW15" s="64"/>
      <c r="OIX15" s="64"/>
      <c r="OIY15" s="64"/>
      <c r="OIZ15" s="64"/>
      <c r="OJA15" s="64"/>
      <c r="OJB15" s="64"/>
      <c r="OJC15" s="64"/>
      <c r="OJD15" s="64"/>
      <c r="OJE15" s="64"/>
      <c r="OJF15" s="64"/>
      <c r="OJG15" s="64"/>
      <c r="OJH15" s="64"/>
      <c r="OJI15" s="64"/>
      <c r="OJJ15" s="64"/>
      <c r="OJK15" s="64"/>
      <c r="OJL15" s="64"/>
      <c r="OJM15" s="64"/>
      <c r="OJN15" s="64"/>
      <c r="OJO15" s="64"/>
      <c r="OJP15" s="64"/>
      <c r="OJQ15" s="64"/>
      <c r="OJR15" s="64"/>
      <c r="OJS15" s="64"/>
      <c r="OJT15" s="64"/>
      <c r="OJU15" s="64"/>
      <c r="OJV15" s="64"/>
      <c r="OJW15" s="64"/>
      <c r="OJX15" s="64"/>
      <c r="OKE15" s="64"/>
      <c r="OKF15" s="64"/>
      <c r="OKG15" s="64"/>
      <c r="OKH15" s="64"/>
      <c r="OKI15" s="64"/>
      <c r="OKJ15" s="64"/>
      <c r="OKK15" s="64"/>
      <c r="OKL15" s="64"/>
      <c r="OKM15" s="64"/>
      <c r="OKN15" s="64"/>
      <c r="OKO15" s="64"/>
      <c r="OKP15" s="64"/>
      <c r="OKQ15" s="64"/>
      <c r="OKR15" s="64"/>
      <c r="OKS15" s="64"/>
      <c r="OKT15" s="64"/>
      <c r="OKU15" s="64"/>
      <c r="OKV15" s="64"/>
      <c r="OKW15" s="64"/>
      <c r="OKX15" s="64"/>
      <c r="OKY15" s="64"/>
      <c r="OKZ15" s="64"/>
      <c r="OLA15" s="64"/>
      <c r="OLB15" s="64"/>
      <c r="OLC15" s="64"/>
      <c r="OLD15" s="64"/>
      <c r="OLE15" s="64"/>
      <c r="OLF15" s="64"/>
      <c r="OLG15" s="64"/>
      <c r="OLH15" s="64"/>
      <c r="OLI15" s="64"/>
      <c r="OLJ15" s="64"/>
      <c r="OLK15" s="64"/>
      <c r="OLL15" s="64"/>
      <c r="OLM15" s="64"/>
      <c r="OLN15" s="64"/>
      <c r="OLO15" s="64"/>
      <c r="OLP15" s="64"/>
      <c r="OLQ15" s="64"/>
      <c r="OLR15" s="64"/>
      <c r="OLS15" s="64"/>
      <c r="OLT15" s="64"/>
      <c r="OLU15" s="64"/>
      <c r="OLV15" s="64"/>
      <c r="OLW15" s="64"/>
      <c r="OLX15" s="64"/>
      <c r="OLY15" s="64"/>
      <c r="OLZ15" s="64"/>
      <c r="OMA15" s="64"/>
      <c r="OMB15" s="64"/>
      <c r="OMC15" s="64"/>
      <c r="OMD15" s="64"/>
      <c r="OME15" s="64"/>
      <c r="OMF15" s="64"/>
      <c r="OMG15" s="64"/>
      <c r="OMH15" s="64"/>
      <c r="OMI15" s="64"/>
      <c r="OMJ15" s="64"/>
      <c r="OMK15" s="64"/>
      <c r="OML15" s="64"/>
      <c r="OMM15" s="64"/>
      <c r="OMN15" s="64"/>
      <c r="OMO15" s="64"/>
      <c r="OMP15" s="64"/>
      <c r="OMQ15" s="64"/>
      <c r="OMR15" s="64"/>
      <c r="OMS15" s="64"/>
      <c r="OMT15" s="64"/>
      <c r="OMU15" s="64"/>
      <c r="OMV15" s="64"/>
      <c r="OMW15" s="64"/>
      <c r="OMX15" s="64"/>
      <c r="OMY15" s="64"/>
      <c r="OMZ15" s="64"/>
      <c r="ONA15" s="64"/>
      <c r="ONB15" s="64"/>
      <c r="ONC15" s="64"/>
      <c r="OND15" s="64"/>
      <c r="ONE15" s="64"/>
      <c r="ONF15" s="64"/>
      <c r="ONG15" s="64"/>
      <c r="ONH15" s="64"/>
      <c r="ONI15" s="64"/>
      <c r="ONJ15" s="64"/>
      <c r="ONK15" s="64"/>
      <c r="ONL15" s="64"/>
      <c r="ONM15" s="64"/>
      <c r="ONN15" s="64"/>
      <c r="ONO15" s="64"/>
      <c r="ONP15" s="64"/>
      <c r="ONQ15" s="64"/>
      <c r="ONR15" s="64"/>
      <c r="ONS15" s="64"/>
      <c r="ONT15" s="64"/>
      <c r="ONU15" s="64"/>
      <c r="ONV15" s="64"/>
      <c r="ONW15" s="64"/>
      <c r="ONX15" s="64"/>
      <c r="ONY15" s="64"/>
      <c r="ONZ15" s="64"/>
      <c r="OOA15" s="64"/>
      <c r="OOB15" s="64"/>
      <c r="OOC15" s="64"/>
      <c r="OOD15" s="64"/>
      <c r="OOE15" s="64"/>
      <c r="OOF15" s="64"/>
      <c r="OOG15" s="64"/>
      <c r="OOH15" s="64"/>
      <c r="OOI15" s="64"/>
      <c r="OOJ15" s="64"/>
      <c r="OOK15" s="64"/>
      <c r="OOL15" s="64"/>
      <c r="OOM15" s="64"/>
      <c r="OON15" s="64"/>
      <c r="OOO15" s="64"/>
      <c r="OOP15" s="64"/>
      <c r="OOQ15" s="64"/>
      <c r="OOR15" s="64"/>
      <c r="OOS15" s="64"/>
      <c r="OOT15" s="64"/>
      <c r="OOU15" s="64"/>
      <c r="OOV15" s="64"/>
      <c r="OOW15" s="64"/>
      <c r="OOX15" s="64"/>
      <c r="OOY15" s="64"/>
      <c r="OOZ15" s="64"/>
      <c r="OPA15" s="64"/>
      <c r="OPB15" s="64"/>
      <c r="OPC15" s="64"/>
      <c r="OPD15" s="64"/>
      <c r="OPE15" s="64"/>
      <c r="OPF15" s="64"/>
      <c r="OPG15" s="64"/>
      <c r="OPH15" s="64"/>
      <c r="OPI15" s="64"/>
      <c r="OPJ15" s="64"/>
      <c r="OPK15" s="64"/>
      <c r="OPL15" s="64"/>
      <c r="OPM15" s="64"/>
      <c r="OPN15" s="64"/>
      <c r="OPO15" s="64"/>
      <c r="OPP15" s="64"/>
      <c r="OPQ15" s="64"/>
      <c r="OPR15" s="64"/>
      <c r="OPS15" s="64"/>
      <c r="OPT15" s="64"/>
      <c r="OPU15" s="64"/>
      <c r="OPV15" s="64"/>
      <c r="OPW15" s="64"/>
      <c r="OPX15" s="64"/>
      <c r="OPY15" s="64"/>
      <c r="OPZ15" s="64"/>
      <c r="OQA15" s="64"/>
      <c r="OQB15" s="64"/>
      <c r="OQC15" s="64"/>
      <c r="OQD15" s="64"/>
      <c r="OQE15" s="64"/>
      <c r="OQF15" s="64"/>
      <c r="OQG15" s="64"/>
      <c r="OQH15" s="64"/>
      <c r="OQI15" s="64"/>
      <c r="OQJ15" s="64"/>
      <c r="OQK15" s="64"/>
      <c r="OQL15" s="64"/>
      <c r="OQM15" s="64"/>
      <c r="OQN15" s="64"/>
      <c r="OQO15" s="64"/>
      <c r="OQP15" s="64"/>
      <c r="OQQ15" s="64"/>
      <c r="OQR15" s="64"/>
      <c r="OQS15" s="64"/>
      <c r="OQT15" s="64"/>
      <c r="OQU15" s="64"/>
      <c r="OQV15" s="64"/>
      <c r="OQW15" s="64"/>
      <c r="OQX15" s="64"/>
      <c r="OQY15" s="64"/>
      <c r="OQZ15" s="64"/>
      <c r="ORA15" s="64"/>
      <c r="ORB15" s="64"/>
      <c r="ORC15" s="64"/>
      <c r="ORD15" s="64"/>
      <c r="ORE15" s="64"/>
      <c r="ORF15" s="64"/>
      <c r="ORG15" s="64"/>
      <c r="ORH15" s="64"/>
      <c r="ORI15" s="64"/>
      <c r="ORJ15" s="64"/>
      <c r="ORK15" s="64"/>
      <c r="ORL15" s="64"/>
      <c r="ORM15" s="64"/>
      <c r="ORN15" s="64"/>
      <c r="ORO15" s="64"/>
      <c r="ORP15" s="64"/>
      <c r="ORQ15" s="64"/>
      <c r="ORR15" s="64"/>
      <c r="ORS15" s="64"/>
      <c r="ORT15" s="64"/>
      <c r="ORU15" s="64"/>
      <c r="ORV15" s="64"/>
      <c r="ORW15" s="64"/>
      <c r="ORX15" s="64"/>
      <c r="ORY15" s="64"/>
      <c r="ORZ15" s="64"/>
      <c r="OSA15" s="64"/>
      <c r="OSB15" s="64"/>
      <c r="OSC15" s="64"/>
      <c r="OSD15" s="64"/>
      <c r="OSE15" s="64"/>
      <c r="OSF15" s="64"/>
      <c r="OSG15" s="64"/>
      <c r="OSH15" s="64"/>
      <c r="OSI15" s="64"/>
      <c r="OSJ15" s="64"/>
      <c r="OSK15" s="64"/>
      <c r="OSL15" s="64"/>
      <c r="OSM15" s="64"/>
      <c r="OSN15" s="64"/>
      <c r="OSO15" s="64"/>
      <c r="OSP15" s="64"/>
      <c r="OSQ15" s="64"/>
      <c r="OSR15" s="64"/>
      <c r="OSS15" s="64"/>
      <c r="OST15" s="64"/>
      <c r="OSU15" s="64"/>
      <c r="OSV15" s="64"/>
      <c r="OSW15" s="64"/>
      <c r="OSX15" s="64"/>
      <c r="OSY15" s="64"/>
      <c r="OSZ15" s="64"/>
      <c r="OTA15" s="64"/>
      <c r="OTB15" s="64"/>
      <c r="OTC15" s="64"/>
      <c r="OTD15" s="64"/>
      <c r="OTE15" s="64"/>
      <c r="OTF15" s="64"/>
      <c r="OTG15" s="64"/>
      <c r="OTH15" s="64"/>
      <c r="OTI15" s="64"/>
      <c r="OTJ15" s="64"/>
      <c r="OTK15" s="64"/>
      <c r="OTL15" s="64"/>
      <c r="OTM15" s="64"/>
      <c r="OTN15" s="64"/>
      <c r="OTO15" s="64"/>
      <c r="OTP15" s="64"/>
      <c r="OTQ15" s="64"/>
      <c r="OTR15" s="64"/>
      <c r="OTS15" s="64"/>
      <c r="OTT15" s="64"/>
      <c r="OUA15" s="64"/>
      <c r="OUB15" s="64"/>
      <c r="OUC15" s="64"/>
      <c r="OUD15" s="64"/>
      <c r="OUE15" s="64"/>
      <c r="OUF15" s="64"/>
      <c r="OUG15" s="64"/>
      <c r="OUH15" s="64"/>
      <c r="OUI15" s="64"/>
      <c r="OUJ15" s="64"/>
      <c r="OUK15" s="64"/>
      <c r="OUL15" s="64"/>
      <c r="OUM15" s="64"/>
      <c r="OUN15" s="64"/>
      <c r="OUO15" s="64"/>
      <c r="OUP15" s="64"/>
      <c r="OUQ15" s="64"/>
      <c r="OUR15" s="64"/>
      <c r="OUS15" s="64"/>
      <c r="OUT15" s="64"/>
      <c r="OUU15" s="64"/>
      <c r="OUV15" s="64"/>
      <c r="OUW15" s="64"/>
      <c r="OUX15" s="64"/>
      <c r="OUY15" s="64"/>
      <c r="OUZ15" s="64"/>
      <c r="OVA15" s="64"/>
      <c r="OVB15" s="64"/>
      <c r="OVC15" s="64"/>
      <c r="OVD15" s="64"/>
      <c r="OVE15" s="64"/>
      <c r="OVF15" s="64"/>
      <c r="OVG15" s="64"/>
      <c r="OVH15" s="64"/>
      <c r="OVI15" s="64"/>
      <c r="OVJ15" s="64"/>
      <c r="OVK15" s="64"/>
      <c r="OVL15" s="64"/>
      <c r="OVM15" s="64"/>
      <c r="OVN15" s="64"/>
      <c r="OVO15" s="64"/>
      <c r="OVP15" s="64"/>
      <c r="OVQ15" s="64"/>
      <c r="OVR15" s="64"/>
      <c r="OVS15" s="64"/>
      <c r="OVT15" s="64"/>
      <c r="OVU15" s="64"/>
      <c r="OVV15" s="64"/>
      <c r="OVW15" s="64"/>
      <c r="OVX15" s="64"/>
      <c r="OVY15" s="64"/>
      <c r="OVZ15" s="64"/>
      <c r="OWA15" s="64"/>
      <c r="OWB15" s="64"/>
      <c r="OWC15" s="64"/>
      <c r="OWD15" s="64"/>
      <c r="OWE15" s="64"/>
      <c r="OWF15" s="64"/>
      <c r="OWG15" s="64"/>
      <c r="OWH15" s="64"/>
      <c r="OWI15" s="64"/>
      <c r="OWJ15" s="64"/>
      <c r="OWK15" s="64"/>
      <c r="OWL15" s="64"/>
      <c r="OWM15" s="64"/>
      <c r="OWN15" s="64"/>
      <c r="OWO15" s="64"/>
      <c r="OWP15" s="64"/>
      <c r="OWQ15" s="64"/>
      <c r="OWR15" s="64"/>
      <c r="OWS15" s="64"/>
      <c r="OWT15" s="64"/>
      <c r="OWU15" s="64"/>
      <c r="OWV15" s="64"/>
      <c r="OWW15" s="64"/>
      <c r="OWX15" s="64"/>
      <c r="OWY15" s="64"/>
      <c r="OWZ15" s="64"/>
      <c r="OXA15" s="64"/>
      <c r="OXB15" s="64"/>
      <c r="OXC15" s="64"/>
      <c r="OXD15" s="64"/>
      <c r="OXE15" s="64"/>
      <c r="OXF15" s="64"/>
      <c r="OXG15" s="64"/>
      <c r="OXH15" s="64"/>
      <c r="OXI15" s="64"/>
      <c r="OXJ15" s="64"/>
      <c r="OXK15" s="64"/>
      <c r="OXL15" s="64"/>
      <c r="OXM15" s="64"/>
      <c r="OXN15" s="64"/>
      <c r="OXO15" s="64"/>
      <c r="OXP15" s="64"/>
      <c r="OXQ15" s="64"/>
      <c r="OXR15" s="64"/>
      <c r="OXS15" s="64"/>
      <c r="OXT15" s="64"/>
      <c r="OXU15" s="64"/>
      <c r="OXV15" s="64"/>
      <c r="OXW15" s="64"/>
      <c r="OXX15" s="64"/>
      <c r="OXY15" s="64"/>
      <c r="OXZ15" s="64"/>
      <c r="OYA15" s="64"/>
      <c r="OYB15" s="64"/>
      <c r="OYC15" s="64"/>
      <c r="OYD15" s="64"/>
      <c r="OYE15" s="64"/>
      <c r="OYF15" s="64"/>
      <c r="OYG15" s="64"/>
      <c r="OYH15" s="64"/>
      <c r="OYI15" s="64"/>
      <c r="OYJ15" s="64"/>
      <c r="OYK15" s="64"/>
      <c r="OYL15" s="64"/>
      <c r="OYM15" s="64"/>
      <c r="OYN15" s="64"/>
      <c r="OYO15" s="64"/>
      <c r="OYP15" s="64"/>
      <c r="OYQ15" s="64"/>
      <c r="OYR15" s="64"/>
      <c r="OYS15" s="64"/>
      <c r="OYT15" s="64"/>
      <c r="OYU15" s="64"/>
      <c r="OYV15" s="64"/>
      <c r="OYW15" s="64"/>
      <c r="OYX15" s="64"/>
      <c r="OYY15" s="64"/>
      <c r="OYZ15" s="64"/>
      <c r="OZA15" s="64"/>
      <c r="OZB15" s="64"/>
      <c r="OZC15" s="64"/>
      <c r="OZD15" s="64"/>
      <c r="OZE15" s="64"/>
      <c r="OZF15" s="64"/>
      <c r="OZG15" s="64"/>
      <c r="OZH15" s="64"/>
      <c r="OZI15" s="64"/>
      <c r="OZJ15" s="64"/>
      <c r="OZK15" s="64"/>
      <c r="OZL15" s="64"/>
      <c r="OZM15" s="64"/>
      <c r="OZN15" s="64"/>
      <c r="OZO15" s="64"/>
      <c r="OZP15" s="64"/>
      <c r="OZQ15" s="64"/>
      <c r="OZR15" s="64"/>
      <c r="OZS15" s="64"/>
      <c r="OZT15" s="64"/>
      <c r="OZU15" s="64"/>
      <c r="OZV15" s="64"/>
      <c r="OZW15" s="64"/>
      <c r="OZX15" s="64"/>
      <c r="OZY15" s="64"/>
      <c r="OZZ15" s="64"/>
      <c r="PAA15" s="64"/>
      <c r="PAB15" s="64"/>
      <c r="PAC15" s="64"/>
      <c r="PAD15" s="64"/>
      <c r="PAE15" s="64"/>
      <c r="PAF15" s="64"/>
      <c r="PAG15" s="64"/>
      <c r="PAH15" s="64"/>
      <c r="PAI15" s="64"/>
      <c r="PAJ15" s="64"/>
      <c r="PAK15" s="64"/>
      <c r="PAL15" s="64"/>
      <c r="PAM15" s="64"/>
      <c r="PAN15" s="64"/>
      <c r="PAO15" s="64"/>
      <c r="PAP15" s="64"/>
      <c r="PAQ15" s="64"/>
      <c r="PAR15" s="64"/>
      <c r="PAS15" s="64"/>
      <c r="PAT15" s="64"/>
      <c r="PAU15" s="64"/>
      <c r="PAV15" s="64"/>
      <c r="PAW15" s="64"/>
      <c r="PAX15" s="64"/>
      <c r="PAY15" s="64"/>
      <c r="PAZ15" s="64"/>
      <c r="PBA15" s="64"/>
      <c r="PBB15" s="64"/>
      <c r="PBC15" s="64"/>
      <c r="PBD15" s="64"/>
      <c r="PBE15" s="64"/>
      <c r="PBF15" s="64"/>
      <c r="PBG15" s="64"/>
      <c r="PBH15" s="64"/>
      <c r="PBI15" s="64"/>
      <c r="PBJ15" s="64"/>
      <c r="PBK15" s="64"/>
      <c r="PBL15" s="64"/>
      <c r="PBM15" s="64"/>
      <c r="PBN15" s="64"/>
      <c r="PBO15" s="64"/>
      <c r="PBP15" s="64"/>
      <c r="PBQ15" s="64"/>
      <c r="PBR15" s="64"/>
      <c r="PBS15" s="64"/>
      <c r="PBT15" s="64"/>
      <c r="PBU15" s="64"/>
      <c r="PBV15" s="64"/>
      <c r="PBW15" s="64"/>
      <c r="PBX15" s="64"/>
      <c r="PBY15" s="64"/>
      <c r="PBZ15" s="64"/>
      <c r="PCA15" s="64"/>
      <c r="PCB15" s="64"/>
      <c r="PCC15" s="64"/>
      <c r="PCD15" s="64"/>
      <c r="PCE15" s="64"/>
      <c r="PCF15" s="64"/>
      <c r="PCG15" s="64"/>
      <c r="PCH15" s="64"/>
      <c r="PCI15" s="64"/>
      <c r="PCJ15" s="64"/>
      <c r="PCK15" s="64"/>
      <c r="PCL15" s="64"/>
      <c r="PCM15" s="64"/>
      <c r="PCN15" s="64"/>
      <c r="PCO15" s="64"/>
      <c r="PCP15" s="64"/>
      <c r="PCQ15" s="64"/>
      <c r="PCR15" s="64"/>
      <c r="PCS15" s="64"/>
      <c r="PCT15" s="64"/>
      <c r="PCU15" s="64"/>
      <c r="PCV15" s="64"/>
      <c r="PCW15" s="64"/>
      <c r="PCX15" s="64"/>
      <c r="PCY15" s="64"/>
      <c r="PCZ15" s="64"/>
      <c r="PDA15" s="64"/>
      <c r="PDB15" s="64"/>
      <c r="PDC15" s="64"/>
      <c r="PDD15" s="64"/>
      <c r="PDE15" s="64"/>
      <c r="PDF15" s="64"/>
      <c r="PDG15" s="64"/>
      <c r="PDH15" s="64"/>
      <c r="PDI15" s="64"/>
      <c r="PDJ15" s="64"/>
      <c r="PDK15" s="64"/>
      <c r="PDL15" s="64"/>
      <c r="PDM15" s="64"/>
      <c r="PDN15" s="64"/>
      <c r="PDO15" s="64"/>
      <c r="PDP15" s="64"/>
      <c r="PDW15" s="64"/>
      <c r="PDX15" s="64"/>
      <c r="PDY15" s="64"/>
      <c r="PDZ15" s="64"/>
      <c r="PEA15" s="64"/>
      <c r="PEB15" s="64"/>
      <c r="PEC15" s="64"/>
      <c r="PED15" s="64"/>
      <c r="PEE15" s="64"/>
      <c r="PEF15" s="64"/>
      <c r="PEG15" s="64"/>
      <c r="PEH15" s="64"/>
      <c r="PEI15" s="64"/>
      <c r="PEJ15" s="64"/>
      <c r="PEK15" s="64"/>
      <c r="PEL15" s="64"/>
      <c r="PEM15" s="64"/>
      <c r="PEN15" s="64"/>
      <c r="PEO15" s="64"/>
      <c r="PEP15" s="64"/>
      <c r="PEQ15" s="64"/>
      <c r="PER15" s="64"/>
      <c r="PES15" s="64"/>
      <c r="PET15" s="64"/>
      <c r="PEU15" s="64"/>
      <c r="PEV15" s="64"/>
      <c r="PEW15" s="64"/>
      <c r="PEX15" s="64"/>
      <c r="PEY15" s="64"/>
      <c r="PEZ15" s="64"/>
      <c r="PFA15" s="64"/>
      <c r="PFB15" s="64"/>
      <c r="PFC15" s="64"/>
      <c r="PFD15" s="64"/>
      <c r="PFE15" s="64"/>
      <c r="PFF15" s="64"/>
      <c r="PFG15" s="64"/>
      <c r="PFH15" s="64"/>
      <c r="PFI15" s="64"/>
      <c r="PFJ15" s="64"/>
      <c r="PFK15" s="64"/>
      <c r="PFL15" s="64"/>
      <c r="PFM15" s="64"/>
      <c r="PFN15" s="64"/>
      <c r="PFO15" s="64"/>
      <c r="PFP15" s="64"/>
      <c r="PFQ15" s="64"/>
      <c r="PFR15" s="64"/>
      <c r="PFS15" s="64"/>
      <c r="PFT15" s="64"/>
      <c r="PFU15" s="64"/>
      <c r="PFV15" s="64"/>
      <c r="PFW15" s="64"/>
      <c r="PFX15" s="64"/>
      <c r="PFY15" s="64"/>
      <c r="PFZ15" s="64"/>
      <c r="PGA15" s="64"/>
      <c r="PGB15" s="64"/>
      <c r="PGC15" s="64"/>
      <c r="PGD15" s="64"/>
      <c r="PGE15" s="64"/>
      <c r="PGF15" s="64"/>
      <c r="PGG15" s="64"/>
      <c r="PGH15" s="64"/>
      <c r="PGI15" s="64"/>
      <c r="PGJ15" s="64"/>
      <c r="PGK15" s="64"/>
      <c r="PGL15" s="64"/>
      <c r="PGM15" s="64"/>
      <c r="PGN15" s="64"/>
      <c r="PGO15" s="64"/>
      <c r="PGP15" s="64"/>
      <c r="PGQ15" s="64"/>
      <c r="PGR15" s="64"/>
      <c r="PGS15" s="64"/>
      <c r="PGT15" s="64"/>
      <c r="PGU15" s="64"/>
      <c r="PGV15" s="64"/>
      <c r="PGW15" s="64"/>
      <c r="PGX15" s="64"/>
      <c r="PGY15" s="64"/>
      <c r="PGZ15" s="64"/>
      <c r="PHA15" s="64"/>
      <c r="PHB15" s="64"/>
      <c r="PHC15" s="64"/>
      <c r="PHD15" s="64"/>
      <c r="PHE15" s="64"/>
      <c r="PHF15" s="64"/>
      <c r="PHG15" s="64"/>
      <c r="PHH15" s="64"/>
      <c r="PHI15" s="64"/>
      <c r="PHJ15" s="64"/>
      <c r="PHK15" s="64"/>
      <c r="PHL15" s="64"/>
      <c r="PHM15" s="64"/>
      <c r="PHN15" s="64"/>
      <c r="PHO15" s="64"/>
      <c r="PHP15" s="64"/>
      <c r="PHQ15" s="64"/>
      <c r="PHR15" s="64"/>
      <c r="PHS15" s="64"/>
      <c r="PHT15" s="64"/>
      <c r="PHU15" s="64"/>
      <c r="PHV15" s="64"/>
      <c r="PHW15" s="64"/>
      <c r="PHX15" s="64"/>
      <c r="PHY15" s="64"/>
      <c r="PHZ15" s="64"/>
      <c r="PIA15" s="64"/>
      <c r="PIB15" s="64"/>
      <c r="PIC15" s="64"/>
      <c r="PID15" s="64"/>
      <c r="PIE15" s="64"/>
      <c r="PIF15" s="64"/>
      <c r="PIG15" s="64"/>
      <c r="PIH15" s="64"/>
      <c r="PII15" s="64"/>
      <c r="PIJ15" s="64"/>
      <c r="PIK15" s="64"/>
      <c r="PIL15" s="64"/>
      <c r="PIM15" s="64"/>
      <c r="PIN15" s="64"/>
      <c r="PIO15" s="64"/>
      <c r="PIP15" s="64"/>
      <c r="PIQ15" s="64"/>
      <c r="PIR15" s="64"/>
      <c r="PIS15" s="64"/>
      <c r="PIT15" s="64"/>
      <c r="PIU15" s="64"/>
      <c r="PIV15" s="64"/>
      <c r="PIW15" s="64"/>
      <c r="PIX15" s="64"/>
      <c r="PIY15" s="64"/>
      <c r="PIZ15" s="64"/>
      <c r="PJA15" s="64"/>
      <c r="PJB15" s="64"/>
      <c r="PJC15" s="64"/>
      <c r="PJD15" s="64"/>
      <c r="PJE15" s="64"/>
      <c r="PJF15" s="64"/>
      <c r="PJG15" s="64"/>
      <c r="PJH15" s="64"/>
      <c r="PJI15" s="64"/>
      <c r="PJJ15" s="64"/>
      <c r="PJK15" s="64"/>
      <c r="PJL15" s="64"/>
      <c r="PJM15" s="64"/>
      <c r="PJN15" s="64"/>
      <c r="PJO15" s="64"/>
      <c r="PJP15" s="64"/>
      <c r="PJQ15" s="64"/>
      <c r="PJR15" s="64"/>
      <c r="PJS15" s="64"/>
      <c r="PJT15" s="64"/>
      <c r="PJU15" s="64"/>
      <c r="PJV15" s="64"/>
      <c r="PJW15" s="64"/>
      <c r="PJX15" s="64"/>
      <c r="PJY15" s="64"/>
      <c r="PJZ15" s="64"/>
      <c r="PKA15" s="64"/>
      <c r="PKB15" s="64"/>
      <c r="PKC15" s="64"/>
      <c r="PKD15" s="64"/>
      <c r="PKE15" s="64"/>
      <c r="PKF15" s="64"/>
      <c r="PKG15" s="64"/>
      <c r="PKH15" s="64"/>
      <c r="PKI15" s="64"/>
      <c r="PKJ15" s="64"/>
      <c r="PKK15" s="64"/>
      <c r="PKL15" s="64"/>
      <c r="PKM15" s="64"/>
      <c r="PKN15" s="64"/>
      <c r="PKO15" s="64"/>
      <c r="PKP15" s="64"/>
      <c r="PKQ15" s="64"/>
      <c r="PKR15" s="64"/>
      <c r="PKS15" s="64"/>
      <c r="PKT15" s="64"/>
      <c r="PKU15" s="64"/>
      <c r="PKV15" s="64"/>
      <c r="PKW15" s="64"/>
      <c r="PKX15" s="64"/>
      <c r="PKY15" s="64"/>
      <c r="PKZ15" s="64"/>
      <c r="PLA15" s="64"/>
      <c r="PLB15" s="64"/>
      <c r="PLC15" s="64"/>
      <c r="PLD15" s="64"/>
      <c r="PLE15" s="64"/>
      <c r="PLF15" s="64"/>
      <c r="PLG15" s="64"/>
      <c r="PLH15" s="64"/>
      <c r="PLI15" s="64"/>
      <c r="PLJ15" s="64"/>
      <c r="PLK15" s="64"/>
      <c r="PLL15" s="64"/>
      <c r="PLM15" s="64"/>
      <c r="PLN15" s="64"/>
      <c r="PLO15" s="64"/>
      <c r="PLP15" s="64"/>
      <c r="PLQ15" s="64"/>
      <c r="PLR15" s="64"/>
      <c r="PLS15" s="64"/>
      <c r="PLT15" s="64"/>
      <c r="PLU15" s="64"/>
      <c r="PLV15" s="64"/>
      <c r="PLW15" s="64"/>
      <c r="PLX15" s="64"/>
      <c r="PLY15" s="64"/>
      <c r="PLZ15" s="64"/>
      <c r="PMA15" s="64"/>
      <c r="PMB15" s="64"/>
      <c r="PMC15" s="64"/>
      <c r="PMD15" s="64"/>
      <c r="PME15" s="64"/>
      <c r="PMF15" s="64"/>
      <c r="PMG15" s="64"/>
      <c r="PMH15" s="64"/>
      <c r="PMI15" s="64"/>
      <c r="PMJ15" s="64"/>
      <c r="PMK15" s="64"/>
      <c r="PML15" s="64"/>
      <c r="PMM15" s="64"/>
      <c r="PMN15" s="64"/>
      <c r="PMO15" s="64"/>
      <c r="PMP15" s="64"/>
      <c r="PMQ15" s="64"/>
      <c r="PMR15" s="64"/>
      <c r="PMS15" s="64"/>
      <c r="PMT15" s="64"/>
      <c r="PMU15" s="64"/>
      <c r="PMV15" s="64"/>
      <c r="PMW15" s="64"/>
      <c r="PMX15" s="64"/>
      <c r="PMY15" s="64"/>
      <c r="PMZ15" s="64"/>
      <c r="PNA15" s="64"/>
      <c r="PNB15" s="64"/>
      <c r="PNC15" s="64"/>
      <c r="PND15" s="64"/>
      <c r="PNE15" s="64"/>
      <c r="PNF15" s="64"/>
      <c r="PNG15" s="64"/>
      <c r="PNH15" s="64"/>
      <c r="PNI15" s="64"/>
      <c r="PNJ15" s="64"/>
      <c r="PNK15" s="64"/>
      <c r="PNL15" s="64"/>
      <c r="PNS15" s="64"/>
      <c r="PNT15" s="64"/>
      <c r="PNU15" s="64"/>
      <c r="PNV15" s="64"/>
      <c r="PNW15" s="64"/>
      <c r="PNX15" s="64"/>
      <c r="PNY15" s="64"/>
      <c r="PNZ15" s="64"/>
      <c r="POA15" s="64"/>
      <c r="POB15" s="64"/>
      <c r="POC15" s="64"/>
      <c r="POD15" s="64"/>
      <c r="POE15" s="64"/>
      <c r="POF15" s="64"/>
      <c r="POG15" s="64"/>
      <c r="POH15" s="64"/>
      <c r="POI15" s="64"/>
      <c r="POJ15" s="64"/>
      <c r="POK15" s="64"/>
      <c r="POL15" s="64"/>
      <c r="POM15" s="64"/>
      <c r="PON15" s="64"/>
      <c r="POO15" s="64"/>
      <c r="POP15" s="64"/>
      <c r="POQ15" s="64"/>
      <c r="POR15" s="64"/>
      <c r="POS15" s="64"/>
      <c r="POT15" s="64"/>
      <c r="POU15" s="64"/>
      <c r="POV15" s="64"/>
      <c r="POW15" s="64"/>
      <c r="POX15" s="64"/>
      <c r="POY15" s="64"/>
      <c r="POZ15" s="64"/>
      <c r="PPA15" s="64"/>
      <c r="PPB15" s="64"/>
      <c r="PPC15" s="64"/>
      <c r="PPD15" s="64"/>
      <c r="PPE15" s="64"/>
      <c r="PPF15" s="64"/>
      <c r="PPG15" s="64"/>
      <c r="PPH15" s="64"/>
      <c r="PPI15" s="64"/>
      <c r="PPJ15" s="64"/>
      <c r="PPK15" s="64"/>
      <c r="PPL15" s="64"/>
      <c r="PPM15" s="64"/>
      <c r="PPN15" s="64"/>
      <c r="PPO15" s="64"/>
      <c r="PPP15" s="64"/>
      <c r="PPQ15" s="64"/>
      <c r="PPR15" s="64"/>
      <c r="PPS15" s="64"/>
      <c r="PPT15" s="64"/>
      <c r="PPU15" s="64"/>
      <c r="PPV15" s="64"/>
      <c r="PPW15" s="64"/>
      <c r="PPX15" s="64"/>
      <c r="PPY15" s="64"/>
      <c r="PPZ15" s="64"/>
      <c r="PQA15" s="64"/>
      <c r="PQB15" s="64"/>
      <c r="PQC15" s="64"/>
      <c r="PQD15" s="64"/>
      <c r="PQE15" s="64"/>
      <c r="PQF15" s="64"/>
      <c r="PQG15" s="64"/>
      <c r="PQH15" s="64"/>
      <c r="PQI15" s="64"/>
      <c r="PQJ15" s="64"/>
      <c r="PQK15" s="64"/>
      <c r="PQL15" s="64"/>
      <c r="PQM15" s="64"/>
      <c r="PQN15" s="64"/>
      <c r="PQO15" s="64"/>
      <c r="PQP15" s="64"/>
      <c r="PQQ15" s="64"/>
      <c r="PQR15" s="64"/>
      <c r="PQS15" s="64"/>
      <c r="PQT15" s="64"/>
      <c r="PQU15" s="64"/>
      <c r="PQV15" s="64"/>
      <c r="PQW15" s="64"/>
      <c r="PQX15" s="64"/>
      <c r="PQY15" s="64"/>
      <c r="PQZ15" s="64"/>
      <c r="PRA15" s="64"/>
      <c r="PRB15" s="64"/>
      <c r="PRC15" s="64"/>
      <c r="PRD15" s="64"/>
      <c r="PRE15" s="64"/>
      <c r="PRF15" s="64"/>
      <c r="PRG15" s="64"/>
      <c r="PRH15" s="64"/>
      <c r="PRI15" s="64"/>
      <c r="PRJ15" s="64"/>
      <c r="PRK15" s="64"/>
      <c r="PRL15" s="64"/>
      <c r="PRM15" s="64"/>
      <c r="PRN15" s="64"/>
      <c r="PRO15" s="64"/>
      <c r="PRP15" s="64"/>
      <c r="PRQ15" s="64"/>
      <c r="PRR15" s="64"/>
      <c r="PRS15" s="64"/>
      <c r="PRT15" s="64"/>
      <c r="PRU15" s="64"/>
      <c r="PRV15" s="64"/>
      <c r="PRW15" s="64"/>
      <c r="PRX15" s="64"/>
      <c r="PRY15" s="64"/>
      <c r="PRZ15" s="64"/>
      <c r="PSA15" s="64"/>
      <c r="PSB15" s="64"/>
      <c r="PSC15" s="64"/>
      <c r="PSD15" s="64"/>
      <c r="PSE15" s="64"/>
      <c r="PSF15" s="64"/>
      <c r="PSG15" s="64"/>
      <c r="PSH15" s="64"/>
      <c r="PSI15" s="64"/>
      <c r="PSJ15" s="64"/>
      <c r="PSK15" s="64"/>
      <c r="PSL15" s="64"/>
      <c r="PSM15" s="64"/>
      <c r="PSN15" s="64"/>
      <c r="PSO15" s="64"/>
      <c r="PSP15" s="64"/>
      <c r="PSQ15" s="64"/>
      <c r="PSR15" s="64"/>
      <c r="PSS15" s="64"/>
      <c r="PST15" s="64"/>
      <c r="PSU15" s="64"/>
      <c r="PSV15" s="64"/>
      <c r="PSW15" s="64"/>
      <c r="PSX15" s="64"/>
      <c r="PSY15" s="64"/>
      <c r="PSZ15" s="64"/>
      <c r="PTA15" s="64"/>
      <c r="PTB15" s="64"/>
      <c r="PTC15" s="64"/>
      <c r="PTD15" s="64"/>
      <c r="PTE15" s="64"/>
      <c r="PTF15" s="64"/>
      <c r="PTG15" s="64"/>
      <c r="PTH15" s="64"/>
      <c r="PTI15" s="64"/>
      <c r="PTJ15" s="64"/>
      <c r="PTK15" s="64"/>
      <c r="PTL15" s="64"/>
      <c r="PTM15" s="64"/>
      <c r="PTN15" s="64"/>
      <c r="PTO15" s="64"/>
      <c r="PTP15" s="64"/>
      <c r="PTQ15" s="64"/>
      <c r="PTR15" s="64"/>
      <c r="PTS15" s="64"/>
      <c r="PTT15" s="64"/>
      <c r="PTU15" s="64"/>
      <c r="PTV15" s="64"/>
      <c r="PTW15" s="64"/>
      <c r="PTX15" s="64"/>
      <c r="PTY15" s="64"/>
      <c r="PTZ15" s="64"/>
      <c r="PUA15" s="64"/>
      <c r="PUB15" s="64"/>
      <c r="PUC15" s="64"/>
      <c r="PUD15" s="64"/>
      <c r="PUE15" s="64"/>
      <c r="PUF15" s="64"/>
      <c r="PUG15" s="64"/>
      <c r="PUH15" s="64"/>
      <c r="PUI15" s="64"/>
      <c r="PUJ15" s="64"/>
      <c r="PUK15" s="64"/>
      <c r="PUL15" s="64"/>
      <c r="PUM15" s="64"/>
      <c r="PUN15" s="64"/>
      <c r="PUO15" s="64"/>
      <c r="PUP15" s="64"/>
      <c r="PUQ15" s="64"/>
      <c r="PUR15" s="64"/>
      <c r="PUS15" s="64"/>
      <c r="PUT15" s="64"/>
      <c r="PUU15" s="64"/>
      <c r="PUV15" s="64"/>
      <c r="PUW15" s="64"/>
      <c r="PUX15" s="64"/>
      <c r="PUY15" s="64"/>
      <c r="PUZ15" s="64"/>
      <c r="PVA15" s="64"/>
      <c r="PVB15" s="64"/>
      <c r="PVC15" s="64"/>
      <c r="PVD15" s="64"/>
      <c r="PVE15" s="64"/>
      <c r="PVF15" s="64"/>
      <c r="PVG15" s="64"/>
      <c r="PVH15" s="64"/>
      <c r="PVI15" s="64"/>
      <c r="PVJ15" s="64"/>
      <c r="PVK15" s="64"/>
      <c r="PVL15" s="64"/>
      <c r="PVM15" s="64"/>
      <c r="PVN15" s="64"/>
      <c r="PVO15" s="64"/>
      <c r="PVP15" s="64"/>
      <c r="PVQ15" s="64"/>
      <c r="PVR15" s="64"/>
      <c r="PVS15" s="64"/>
      <c r="PVT15" s="64"/>
      <c r="PVU15" s="64"/>
      <c r="PVV15" s="64"/>
      <c r="PVW15" s="64"/>
      <c r="PVX15" s="64"/>
      <c r="PVY15" s="64"/>
      <c r="PVZ15" s="64"/>
      <c r="PWA15" s="64"/>
      <c r="PWB15" s="64"/>
      <c r="PWC15" s="64"/>
      <c r="PWD15" s="64"/>
      <c r="PWE15" s="64"/>
      <c r="PWF15" s="64"/>
      <c r="PWG15" s="64"/>
      <c r="PWH15" s="64"/>
      <c r="PWI15" s="64"/>
      <c r="PWJ15" s="64"/>
      <c r="PWK15" s="64"/>
      <c r="PWL15" s="64"/>
      <c r="PWM15" s="64"/>
      <c r="PWN15" s="64"/>
      <c r="PWO15" s="64"/>
      <c r="PWP15" s="64"/>
      <c r="PWQ15" s="64"/>
      <c r="PWR15" s="64"/>
      <c r="PWS15" s="64"/>
      <c r="PWT15" s="64"/>
      <c r="PWU15" s="64"/>
      <c r="PWV15" s="64"/>
      <c r="PWW15" s="64"/>
      <c r="PWX15" s="64"/>
      <c r="PWY15" s="64"/>
      <c r="PWZ15" s="64"/>
      <c r="PXA15" s="64"/>
      <c r="PXB15" s="64"/>
      <c r="PXC15" s="64"/>
      <c r="PXD15" s="64"/>
      <c r="PXE15" s="64"/>
      <c r="PXF15" s="64"/>
      <c r="PXG15" s="64"/>
      <c r="PXH15" s="64"/>
      <c r="PXO15" s="64"/>
      <c r="PXP15" s="64"/>
      <c r="PXQ15" s="64"/>
      <c r="PXR15" s="64"/>
      <c r="PXS15" s="64"/>
      <c r="PXT15" s="64"/>
      <c r="PXU15" s="64"/>
      <c r="PXV15" s="64"/>
      <c r="PXW15" s="64"/>
      <c r="PXX15" s="64"/>
      <c r="PXY15" s="64"/>
      <c r="PXZ15" s="64"/>
      <c r="PYA15" s="64"/>
      <c r="PYB15" s="64"/>
      <c r="PYC15" s="64"/>
      <c r="PYD15" s="64"/>
      <c r="PYE15" s="64"/>
      <c r="PYF15" s="64"/>
      <c r="PYG15" s="64"/>
      <c r="PYH15" s="64"/>
      <c r="PYI15" s="64"/>
      <c r="PYJ15" s="64"/>
      <c r="PYK15" s="64"/>
      <c r="PYL15" s="64"/>
      <c r="PYM15" s="64"/>
      <c r="PYN15" s="64"/>
      <c r="PYO15" s="64"/>
      <c r="PYP15" s="64"/>
      <c r="PYQ15" s="64"/>
      <c r="PYR15" s="64"/>
      <c r="PYS15" s="64"/>
      <c r="PYT15" s="64"/>
      <c r="PYU15" s="64"/>
      <c r="PYV15" s="64"/>
      <c r="PYW15" s="64"/>
      <c r="PYX15" s="64"/>
      <c r="PYY15" s="64"/>
      <c r="PYZ15" s="64"/>
      <c r="PZA15" s="64"/>
      <c r="PZB15" s="64"/>
      <c r="PZC15" s="64"/>
      <c r="PZD15" s="64"/>
      <c r="PZE15" s="64"/>
      <c r="PZF15" s="64"/>
      <c r="PZG15" s="64"/>
      <c r="PZH15" s="64"/>
      <c r="PZI15" s="64"/>
      <c r="PZJ15" s="64"/>
      <c r="PZK15" s="64"/>
      <c r="PZL15" s="64"/>
      <c r="PZM15" s="64"/>
      <c r="PZN15" s="64"/>
      <c r="PZO15" s="64"/>
      <c r="PZP15" s="64"/>
      <c r="PZQ15" s="64"/>
      <c r="PZR15" s="64"/>
      <c r="PZS15" s="64"/>
      <c r="PZT15" s="64"/>
      <c r="PZU15" s="64"/>
      <c r="PZV15" s="64"/>
      <c r="PZW15" s="64"/>
      <c r="PZX15" s="64"/>
      <c r="PZY15" s="64"/>
      <c r="PZZ15" s="64"/>
      <c r="QAA15" s="64"/>
      <c r="QAB15" s="64"/>
      <c r="QAC15" s="64"/>
      <c r="QAD15" s="64"/>
      <c r="QAE15" s="64"/>
      <c r="QAF15" s="64"/>
      <c r="QAG15" s="64"/>
      <c r="QAH15" s="64"/>
      <c r="QAI15" s="64"/>
      <c r="QAJ15" s="64"/>
      <c r="QAK15" s="64"/>
      <c r="QAL15" s="64"/>
      <c r="QAM15" s="64"/>
      <c r="QAN15" s="64"/>
      <c r="QAO15" s="64"/>
      <c r="QAP15" s="64"/>
      <c r="QAQ15" s="64"/>
      <c r="QAR15" s="64"/>
      <c r="QAS15" s="64"/>
      <c r="QAT15" s="64"/>
      <c r="QAU15" s="64"/>
      <c r="QAV15" s="64"/>
      <c r="QAW15" s="64"/>
      <c r="QAX15" s="64"/>
      <c r="QAY15" s="64"/>
      <c r="QAZ15" s="64"/>
      <c r="QBA15" s="64"/>
      <c r="QBB15" s="64"/>
      <c r="QBC15" s="64"/>
      <c r="QBD15" s="64"/>
      <c r="QBE15" s="64"/>
      <c r="QBF15" s="64"/>
      <c r="QBG15" s="64"/>
      <c r="QBH15" s="64"/>
      <c r="QBI15" s="64"/>
      <c r="QBJ15" s="64"/>
      <c r="QBK15" s="64"/>
      <c r="QBL15" s="64"/>
      <c r="QBM15" s="64"/>
      <c r="QBN15" s="64"/>
      <c r="QBO15" s="64"/>
      <c r="QBP15" s="64"/>
      <c r="QBQ15" s="64"/>
      <c r="QBR15" s="64"/>
      <c r="QBS15" s="64"/>
      <c r="QBT15" s="64"/>
      <c r="QBU15" s="64"/>
      <c r="QBV15" s="64"/>
      <c r="QBW15" s="64"/>
      <c r="QBX15" s="64"/>
      <c r="QBY15" s="64"/>
      <c r="QBZ15" s="64"/>
      <c r="QCA15" s="64"/>
      <c r="QCB15" s="64"/>
      <c r="QCC15" s="64"/>
      <c r="QCD15" s="64"/>
      <c r="QCE15" s="64"/>
      <c r="QCF15" s="64"/>
      <c r="QCG15" s="64"/>
      <c r="QCH15" s="64"/>
      <c r="QCI15" s="64"/>
      <c r="QCJ15" s="64"/>
      <c r="QCK15" s="64"/>
      <c r="QCL15" s="64"/>
      <c r="QCM15" s="64"/>
      <c r="QCN15" s="64"/>
      <c r="QCO15" s="64"/>
      <c r="QCP15" s="64"/>
      <c r="QCQ15" s="64"/>
      <c r="QCR15" s="64"/>
      <c r="QCS15" s="64"/>
      <c r="QCT15" s="64"/>
      <c r="QCU15" s="64"/>
      <c r="QCV15" s="64"/>
      <c r="QCW15" s="64"/>
      <c r="QCX15" s="64"/>
      <c r="QCY15" s="64"/>
      <c r="QCZ15" s="64"/>
      <c r="QDA15" s="64"/>
      <c r="QDB15" s="64"/>
      <c r="QDC15" s="64"/>
      <c r="QDD15" s="64"/>
      <c r="QDE15" s="64"/>
      <c r="QDF15" s="64"/>
      <c r="QDG15" s="64"/>
      <c r="QDH15" s="64"/>
      <c r="QDI15" s="64"/>
      <c r="QDJ15" s="64"/>
      <c r="QDK15" s="64"/>
      <c r="QDL15" s="64"/>
      <c r="QDM15" s="64"/>
      <c r="QDN15" s="64"/>
      <c r="QDO15" s="64"/>
      <c r="QDP15" s="64"/>
      <c r="QDQ15" s="64"/>
      <c r="QDR15" s="64"/>
      <c r="QDS15" s="64"/>
      <c r="QDT15" s="64"/>
      <c r="QDU15" s="64"/>
      <c r="QDV15" s="64"/>
      <c r="QDW15" s="64"/>
      <c r="QDX15" s="64"/>
      <c r="QDY15" s="64"/>
      <c r="QDZ15" s="64"/>
      <c r="QEA15" s="64"/>
      <c r="QEB15" s="64"/>
      <c r="QEC15" s="64"/>
      <c r="QED15" s="64"/>
      <c r="QEE15" s="64"/>
      <c r="QEF15" s="64"/>
      <c r="QEG15" s="64"/>
      <c r="QEH15" s="64"/>
      <c r="QEI15" s="64"/>
      <c r="QEJ15" s="64"/>
      <c r="QEK15" s="64"/>
      <c r="QEL15" s="64"/>
      <c r="QEM15" s="64"/>
      <c r="QEN15" s="64"/>
      <c r="QEO15" s="64"/>
      <c r="QEP15" s="64"/>
      <c r="QEQ15" s="64"/>
      <c r="QER15" s="64"/>
      <c r="QES15" s="64"/>
      <c r="QET15" s="64"/>
      <c r="QEU15" s="64"/>
      <c r="QEV15" s="64"/>
      <c r="QEW15" s="64"/>
      <c r="QEX15" s="64"/>
      <c r="QEY15" s="64"/>
      <c r="QEZ15" s="64"/>
      <c r="QFA15" s="64"/>
      <c r="QFB15" s="64"/>
      <c r="QFC15" s="64"/>
      <c r="QFD15" s="64"/>
      <c r="QFE15" s="64"/>
      <c r="QFF15" s="64"/>
      <c r="QFG15" s="64"/>
      <c r="QFH15" s="64"/>
      <c r="QFI15" s="64"/>
      <c r="QFJ15" s="64"/>
      <c r="QFK15" s="64"/>
      <c r="QFL15" s="64"/>
      <c r="QFM15" s="64"/>
      <c r="QFN15" s="64"/>
      <c r="QFO15" s="64"/>
      <c r="QFP15" s="64"/>
      <c r="QFQ15" s="64"/>
      <c r="QFR15" s="64"/>
      <c r="QFS15" s="64"/>
      <c r="QFT15" s="64"/>
      <c r="QFU15" s="64"/>
      <c r="QFV15" s="64"/>
      <c r="QFW15" s="64"/>
      <c r="QFX15" s="64"/>
      <c r="QFY15" s="64"/>
      <c r="QFZ15" s="64"/>
      <c r="QGA15" s="64"/>
      <c r="QGB15" s="64"/>
      <c r="QGC15" s="64"/>
      <c r="QGD15" s="64"/>
      <c r="QGE15" s="64"/>
      <c r="QGF15" s="64"/>
      <c r="QGG15" s="64"/>
      <c r="QGH15" s="64"/>
      <c r="QGI15" s="64"/>
      <c r="QGJ15" s="64"/>
      <c r="QGK15" s="64"/>
      <c r="QGL15" s="64"/>
      <c r="QGM15" s="64"/>
      <c r="QGN15" s="64"/>
      <c r="QGO15" s="64"/>
      <c r="QGP15" s="64"/>
      <c r="QGQ15" s="64"/>
      <c r="QGR15" s="64"/>
      <c r="QGS15" s="64"/>
      <c r="QGT15" s="64"/>
      <c r="QGU15" s="64"/>
      <c r="QGV15" s="64"/>
      <c r="QGW15" s="64"/>
      <c r="QGX15" s="64"/>
      <c r="QGY15" s="64"/>
      <c r="QGZ15" s="64"/>
      <c r="QHA15" s="64"/>
      <c r="QHB15" s="64"/>
      <c r="QHC15" s="64"/>
      <c r="QHD15" s="64"/>
      <c r="QHK15" s="64"/>
      <c r="QHL15" s="64"/>
      <c r="QHM15" s="64"/>
      <c r="QHN15" s="64"/>
      <c r="QHO15" s="64"/>
      <c r="QHP15" s="64"/>
      <c r="QHQ15" s="64"/>
      <c r="QHR15" s="64"/>
      <c r="QHS15" s="64"/>
      <c r="QHT15" s="64"/>
      <c r="QHU15" s="64"/>
      <c r="QHV15" s="64"/>
      <c r="QHW15" s="64"/>
      <c r="QHX15" s="64"/>
      <c r="QHY15" s="64"/>
      <c r="QHZ15" s="64"/>
      <c r="QIA15" s="64"/>
      <c r="QIB15" s="64"/>
      <c r="QIC15" s="64"/>
      <c r="QID15" s="64"/>
      <c r="QIE15" s="64"/>
      <c r="QIF15" s="64"/>
      <c r="QIG15" s="64"/>
      <c r="QIH15" s="64"/>
      <c r="QII15" s="64"/>
      <c r="QIJ15" s="64"/>
      <c r="QIK15" s="64"/>
      <c r="QIL15" s="64"/>
      <c r="QIM15" s="64"/>
      <c r="QIN15" s="64"/>
      <c r="QIO15" s="64"/>
      <c r="QIP15" s="64"/>
      <c r="QIQ15" s="64"/>
      <c r="QIR15" s="64"/>
      <c r="QIS15" s="64"/>
      <c r="QIT15" s="64"/>
      <c r="QIU15" s="64"/>
      <c r="QIV15" s="64"/>
      <c r="QIW15" s="64"/>
      <c r="QIX15" s="64"/>
      <c r="QIY15" s="64"/>
      <c r="QIZ15" s="64"/>
      <c r="QJA15" s="64"/>
      <c r="QJB15" s="64"/>
      <c r="QJC15" s="64"/>
      <c r="QJD15" s="64"/>
      <c r="QJE15" s="64"/>
      <c r="QJF15" s="64"/>
      <c r="QJG15" s="64"/>
      <c r="QJH15" s="64"/>
      <c r="QJI15" s="64"/>
      <c r="QJJ15" s="64"/>
      <c r="QJK15" s="64"/>
      <c r="QJL15" s="64"/>
      <c r="QJM15" s="64"/>
      <c r="QJN15" s="64"/>
      <c r="QJO15" s="64"/>
      <c r="QJP15" s="64"/>
      <c r="QJQ15" s="64"/>
      <c r="QJR15" s="64"/>
      <c r="QJS15" s="64"/>
      <c r="QJT15" s="64"/>
      <c r="QJU15" s="64"/>
      <c r="QJV15" s="64"/>
      <c r="QJW15" s="64"/>
      <c r="QJX15" s="64"/>
      <c r="QJY15" s="64"/>
      <c r="QJZ15" s="64"/>
      <c r="QKA15" s="64"/>
      <c r="QKB15" s="64"/>
      <c r="QKC15" s="64"/>
      <c r="QKD15" s="64"/>
      <c r="QKE15" s="64"/>
      <c r="QKF15" s="64"/>
      <c r="QKG15" s="64"/>
      <c r="QKH15" s="64"/>
      <c r="QKI15" s="64"/>
      <c r="QKJ15" s="64"/>
      <c r="QKK15" s="64"/>
      <c r="QKL15" s="64"/>
      <c r="QKM15" s="64"/>
      <c r="QKN15" s="64"/>
      <c r="QKO15" s="64"/>
      <c r="QKP15" s="64"/>
      <c r="QKQ15" s="64"/>
      <c r="QKR15" s="64"/>
      <c r="QKS15" s="64"/>
      <c r="QKT15" s="64"/>
      <c r="QKU15" s="64"/>
      <c r="QKV15" s="64"/>
      <c r="QKW15" s="64"/>
      <c r="QKX15" s="64"/>
      <c r="QKY15" s="64"/>
      <c r="QKZ15" s="64"/>
      <c r="QLA15" s="64"/>
      <c r="QLB15" s="64"/>
      <c r="QLC15" s="64"/>
      <c r="QLD15" s="64"/>
      <c r="QLE15" s="64"/>
      <c r="QLF15" s="64"/>
      <c r="QLG15" s="64"/>
      <c r="QLH15" s="64"/>
      <c r="QLI15" s="64"/>
      <c r="QLJ15" s="64"/>
      <c r="QLK15" s="64"/>
      <c r="QLL15" s="64"/>
      <c r="QLM15" s="64"/>
      <c r="QLN15" s="64"/>
      <c r="QLO15" s="64"/>
      <c r="QLP15" s="64"/>
      <c r="QLQ15" s="64"/>
      <c r="QLR15" s="64"/>
      <c r="QLS15" s="64"/>
      <c r="QLT15" s="64"/>
      <c r="QLU15" s="64"/>
      <c r="QLV15" s="64"/>
      <c r="QLW15" s="64"/>
      <c r="QLX15" s="64"/>
      <c r="QLY15" s="64"/>
      <c r="QLZ15" s="64"/>
      <c r="QMA15" s="64"/>
      <c r="QMB15" s="64"/>
      <c r="QMC15" s="64"/>
      <c r="QMD15" s="64"/>
      <c r="QME15" s="64"/>
      <c r="QMF15" s="64"/>
      <c r="QMG15" s="64"/>
      <c r="QMH15" s="64"/>
      <c r="QMI15" s="64"/>
      <c r="QMJ15" s="64"/>
      <c r="QMK15" s="64"/>
      <c r="QML15" s="64"/>
      <c r="QMM15" s="64"/>
      <c r="QMN15" s="64"/>
      <c r="QMO15" s="64"/>
      <c r="QMP15" s="64"/>
      <c r="QMQ15" s="64"/>
      <c r="QMR15" s="64"/>
      <c r="QMS15" s="64"/>
      <c r="QMT15" s="64"/>
      <c r="QMU15" s="64"/>
      <c r="QMV15" s="64"/>
      <c r="QMW15" s="64"/>
      <c r="QMX15" s="64"/>
      <c r="QMY15" s="64"/>
      <c r="QMZ15" s="64"/>
      <c r="QNA15" s="64"/>
      <c r="QNB15" s="64"/>
      <c r="QNC15" s="64"/>
      <c r="QND15" s="64"/>
      <c r="QNE15" s="64"/>
      <c r="QNF15" s="64"/>
      <c r="QNG15" s="64"/>
      <c r="QNH15" s="64"/>
      <c r="QNI15" s="64"/>
      <c r="QNJ15" s="64"/>
      <c r="QNK15" s="64"/>
      <c r="QNL15" s="64"/>
      <c r="QNM15" s="64"/>
      <c r="QNN15" s="64"/>
      <c r="QNO15" s="64"/>
      <c r="QNP15" s="64"/>
      <c r="QNQ15" s="64"/>
      <c r="QNR15" s="64"/>
      <c r="QNS15" s="64"/>
      <c r="QNT15" s="64"/>
      <c r="QNU15" s="64"/>
      <c r="QNV15" s="64"/>
      <c r="QNW15" s="64"/>
      <c r="QNX15" s="64"/>
      <c r="QNY15" s="64"/>
      <c r="QNZ15" s="64"/>
      <c r="QOA15" s="64"/>
      <c r="QOB15" s="64"/>
      <c r="QOC15" s="64"/>
      <c r="QOD15" s="64"/>
      <c r="QOE15" s="64"/>
      <c r="QOF15" s="64"/>
      <c r="QOG15" s="64"/>
      <c r="QOH15" s="64"/>
      <c r="QOI15" s="64"/>
      <c r="QOJ15" s="64"/>
      <c r="QOK15" s="64"/>
      <c r="QOL15" s="64"/>
      <c r="QOM15" s="64"/>
      <c r="QON15" s="64"/>
      <c r="QOO15" s="64"/>
      <c r="QOP15" s="64"/>
      <c r="QOQ15" s="64"/>
      <c r="QOR15" s="64"/>
      <c r="QOS15" s="64"/>
      <c r="QOT15" s="64"/>
      <c r="QOU15" s="64"/>
      <c r="QOV15" s="64"/>
      <c r="QOW15" s="64"/>
      <c r="QOX15" s="64"/>
      <c r="QOY15" s="64"/>
      <c r="QOZ15" s="64"/>
      <c r="QPA15" s="64"/>
      <c r="QPB15" s="64"/>
      <c r="QPC15" s="64"/>
      <c r="QPD15" s="64"/>
      <c r="QPE15" s="64"/>
      <c r="QPF15" s="64"/>
      <c r="QPG15" s="64"/>
      <c r="QPH15" s="64"/>
      <c r="QPI15" s="64"/>
      <c r="QPJ15" s="64"/>
      <c r="QPK15" s="64"/>
      <c r="QPL15" s="64"/>
      <c r="QPM15" s="64"/>
      <c r="QPN15" s="64"/>
      <c r="QPO15" s="64"/>
      <c r="QPP15" s="64"/>
      <c r="QPQ15" s="64"/>
      <c r="QPR15" s="64"/>
      <c r="QPS15" s="64"/>
      <c r="QPT15" s="64"/>
      <c r="QPU15" s="64"/>
      <c r="QPV15" s="64"/>
      <c r="QPW15" s="64"/>
      <c r="QPX15" s="64"/>
      <c r="QPY15" s="64"/>
      <c r="QPZ15" s="64"/>
      <c r="QQA15" s="64"/>
      <c r="QQB15" s="64"/>
      <c r="QQC15" s="64"/>
      <c r="QQD15" s="64"/>
      <c r="QQE15" s="64"/>
      <c r="QQF15" s="64"/>
      <c r="QQG15" s="64"/>
      <c r="QQH15" s="64"/>
      <c r="QQI15" s="64"/>
      <c r="QQJ15" s="64"/>
      <c r="QQK15" s="64"/>
      <c r="QQL15" s="64"/>
      <c r="QQM15" s="64"/>
      <c r="QQN15" s="64"/>
      <c r="QQO15" s="64"/>
      <c r="QQP15" s="64"/>
      <c r="QQQ15" s="64"/>
      <c r="QQR15" s="64"/>
      <c r="QQS15" s="64"/>
      <c r="QQT15" s="64"/>
      <c r="QQU15" s="64"/>
      <c r="QQV15" s="64"/>
      <c r="QQW15" s="64"/>
      <c r="QQX15" s="64"/>
      <c r="QQY15" s="64"/>
      <c r="QQZ15" s="64"/>
      <c r="QRG15" s="64"/>
      <c r="QRH15" s="64"/>
      <c r="QRI15" s="64"/>
      <c r="QRJ15" s="64"/>
      <c r="QRK15" s="64"/>
      <c r="QRL15" s="64"/>
      <c r="QRM15" s="64"/>
      <c r="QRN15" s="64"/>
      <c r="QRO15" s="64"/>
      <c r="QRP15" s="64"/>
      <c r="QRQ15" s="64"/>
      <c r="QRR15" s="64"/>
      <c r="QRS15" s="64"/>
      <c r="QRT15" s="64"/>
      <c r="QRU15" s="64"/>
      <c r="QRV15" s="64"/>
      <c r="QRW15" s="64"/>
      <c r="QRX15" s="64"/>
      <c r="QRY15" s="64"/>
      <c r="QRZ15" s="64"/>
      <c r="QSA15" s="64"/>
      <c r="QSB15" s="64"/>
      <c r="QSC15" s="64"/>
      <c r="QSD15" s="64"/>
      <c r="QSE15" s="64"/>
      <c r="QSF15" s="64"/>
      <c r="QSG15" s="64"/>
      <c r="QSH15" s="64"/>
      <c r="QSI15" s="64"/>
      <c r="QSJ15" s="64"/>
      <c r="QSK15" s="64"/>
      <c r="QSL15" s="64"/>
      <c r="QSM15" s="64"/>
      <c r="QSN15" s="64"/>
      <c r="QSO15" s="64"/>
      <c r="QSP15" s="64"/>
      <c r="QSQ15" s="64"/>
      <c r="QSR15" s="64"/>
      <c r="QSS15" s="64"/>
      <c r="QST15" s="64"/>
      <c r="QSU15" s="64"/>
      <c r="QSV15" s="64"/>
      <c r="QSW15" s="64"/>
      <c r="QSX15" s="64"/>
      <c r="QSY15" s="64"/>
      <c r="QSZ15" s="64"/>
      <c r="QTA15" s="64"/>
      <c r="QTB15" s="64"/>
      <c r="QTC15" s="64"/>
      <c r="QTD15" s="64"/>
      <c r="QTE15" s="64"/>
      <c r="QTF15" s="64"/>
      <c r="QTG15" s="64"/>
      <c r="QTH15" s="64"/>
      <c r="QTI15" s="64"/>
      <c r="QTJ15" s="64"/>
      <c r="QTK15" s="64"/>
      <c r="QTL15" s="64"/>
      <c r="QTM15" s="64"/>
      <c r="QTN15" s="64"/>
      <c r="QTO15" s="64"/>
      <c r="QTP15" s="64"/>
      <c r="QTQ15" s="64"/>
      <c r="QTR15" s="64"/>
      <c r="QTS15" s="64"/>
      <c r="QTT15" s="64"/>
      <c r="QTU15" s="64"/>
      <c r="QTV15" s="64"/>
      <c r="QTW15" s="64"/>
      <c r="QTX15" s="64"/>
      <c r="QTY15" s="64"/>
      <c r="QTZ15" s="64"/>
      <c r="QUA15" s="64"/>
      <c r="QUB15" s="64"/>
      <c r="QUC15" s="64"/>
      <c r="QUD15" s="64"/>
      <c r="QUE15" s="64"/>
      <c r="QUF15" s="64"/>
      <c r="QUG15" s="64"/>
      <c r="QUH15" s="64"/>
      <c r="QUI15" s="64"/>
      <c r="QUJ15" s="64"/>
      <c r="QUK15" s="64"/>
      <c r="QUL15" s="64"/>
      <c r="QUM15" s="64"/>
      <c r="QUN15" s="64"/>
      <c r="QUO15" s="64"/>
      <c r="QUP15" s="64"/>
      <c r="QUQ15" s="64"/>
      <c r="QUR15" s="64"/>
      <c r="QUS15" s="64"/>
      <c r="QUT15" s="64"/>
      <c r="QUU15" s="64"/>
      <c r="QUV15" s="64"/>
      <c r="QUW15" s="64"/>
      <c r="QUX15" s="64"/>
      <c r="QUY15" s="64"/>
      <c r="QUZ15" s="64"/>
      <c r="QVA15" s="64"/>
      <c r="QVB15" s="64"/>
      <c r="QVC15" s="64"/>
      <c r="QVD15" s="64"/>
      <c r="QVE15" s="64"/>
      <c r="QVF15" s="64"/>
      <c r="QVG15" s="64"/>
      <c r="QVH15" s="64"/>
      <c r="QVI15" s="64"/>
      <c r="QVJ15" s="64"/>
      <c r="QVK15" s="64"/>
      <c r="QVL15" s="64"/>
      <c r="QVM15" s="64"/>
      <c r="QVN15" s="64"/>
      <c r="QVO15" s="64"/>
      <c r="QVP15" s="64"/>
      <c r="QVQ15" s="64"/>
      <c r="QVR15" s="64"/>
      <c r="QVS15" s="64"/>
      <c r="QVT15" s="64"/>
      <c r="QVU15" s="64"/>
      <c r="QVV15" s="64"/>
      <c r="QVW15" s="64"/>
      <c r="QVX15" s="64"/>
      <c r="QVY15" s="64"/>
      <c r="QVZ15" s="64"/>
      <c r="QWA15" s="64"/>
      <c r="QWB15" s="64"/>
      <c r="QWC15" s="64"/>
      <c r="QWD15" s="64"/>
      <c r="QWE15" s="64"/>
      <c r="QWF15" s="64"/>
      <c r="QWG15" s="64"/>
      <c r="QWH15" s="64"/>
      <c r="QWI15" s="64"/>
      <c r="QWJ15" s="64"/>
      <c r="QWK15" s="64"/>
      <c r="QWL15" s="64"/>
      <c r="QWM15" s="64"/>
      <c r="QWN15" s="64"/>
      <c r="QWO15" s="64"/>
      <c r="QWP15" s="64"/>
      <c r="QWQ15" s="64"/>
      <c r="QWR15" s="64"/>
      <c r="QWS15" s="64"/>
      <c r="QWT15" s="64"/>
      <c r="QWU15" s="64"/>
      <c r="QWV15" s="64"/>
      <c r="QWW15" s="64"/>
      <c r="QWX15" s="64"/>
      <c r="QWY15" s="64"/>
      <c r="QWZ15" s="64"/>
      <c r="QXA15" s="64"/>
      <c r="QXB15" s="64"/>
      <c r="QXC15" s="64"/>
      <c r="QXD15" s="64"/>
      <c r="QXE15" s="64"/>
      <c r="QXF15" s="64"/>
      <c r="QXG15" s="64"/>
      <c r="QXH15" s="64"/>
      <c r="QXI15" s="64"/>
      <c r="QXJ15" s="64"/>
      <c r="QXK15" s="64"/>
      <c r="QXL15" s="64"/>
      <c r="QXM15" s="64"/>
      <c r="QXN15" s="64"/>
      <c r="QXO15" s="64"/>
      <c r="QXP15" s="64"/>
      <c r="QXQ15" s="64"/>
      <c r="QXR15" s="64"/>
      <c r="QXS15" s="64"/>
      <c r="QXT15" s="64"/>
      <c r="QXU15" s="64"/>
      <c r="QXV15" s="64"/>
      <c r="QXW15" s="64"/>
      <c r="QXX15" s="64"/>
      <c r="QXY15" s="64"/>
      <c r="QXZ15" s="64"/>
      <c r="QYA15" s="64"/>
      <c r="QYB15" s="64"/>
      <c r="QYC15" s="64"/>
      <c r="QYD15" s="64"/>
      <c r="QYE15" s="64"/>
      <c r="QYF15" s="64"/>
      <c r="QYG15" s="64"/>
      <c r="QYH15" s="64"/>
      <c r="QYI15" s="64"/>
      <c r="QYJ15" s="64"/>
      <c r="QYK15" s="64"/>
      <c r="QYL15" s="64"/>
      <c r="QYM15" s="64"/>
      <c r="QYN15" s="64"/>
      <c r="QYO15" s="64"/>
      <c r="QYP15" s="64"/>
      <c r="QYQ15" s="64"/>
      <c r="QYR15" s="64"/>
      <c r="QYS15" s="64"/>
      <c r="QYT15" s="64"/>
      <c r="QYU15" s="64"/>
      <c r="QYV15" s="64"/>
      <c r="QYW15" s="64"/>
      <c r="QYX15" s="64"/>
      <c r="QYY15" s="64"/>
      <c r="QYZ15" s="64"/>
      <c r="QZA15" s="64"/>
      <c r="QZB15" s="64"/>
      <c r="QZC15" s="64"/>
      <c r="QZD15" s="64"/>
      <c r="QZE15" s="64"/>
      <c r="QZF15" s="64"/>
      <c r="QZG15" s="64"/>
      <c r="QZH15" s="64"/>
      <c r="QZI15" s="64"/>
      <c r="QZJ15" s="64"/>
      <c r="QZK15" s="64"/>
      <c r="QZL15" s="64"/>
      <c r="QZM15" s="64"/>
      <c r="QZN15" s="64"/>
      <c r="QZO15" s="64"/>
      <c r="QZP15" s="64"/>
      <c r="QZQ15" s="64"/>
      <c r="QZR15" s="64"/>
      <c r="QZS15" s="64"/>
      <c r="QZT15" s="64"/>
      <c r="QZU15" s="64"/>
      <c r="QZV15" s="64"/>
      <c r="QZW15" s="64"/>
      <c r="QZX15" s="64"/>
      <c r="QZY15" s="64"/>
      <c r="QZZ15" s="64"/>
      <c r="RAA15" s="64"/>
      <c r="RAB15" s="64"/>
      <c r="RAC15" s="64"/>
      <c r="RAD15" s="64"/>
      <c r="RAE15" s="64"/>
      <c r="RAF15" s="64"/>
      <c r="RAG15" s="64"/>
      <c r="RAH15" s="64"/>
      <c r="RAI15" s="64"/>
      <c r="RAJ15" s="64"/>
      <c r="RAK15" s="64"/>
      <c r="RAL15" s="64"/>
      <c r="RAM15" s="64"/>
      <c r="RAN15" s="64"/>
      <c r="RAO15" s="64"/>
      <c r="RAP15" s="64"/>
      <c r="RAQ15" s="64"/>
      <c r="RAR15" s="64"/>
      <c r="RAS15" s="64"/>
      <c r="RAT15" s="64"/>
      <c r="RAU15" s="64"/>
      <c r="RAV15" s="64"/>
      <c r="RBC15" s="64"/>
      <c r="RBD15" s="64"/>
      <c r="RBE15" s="64"/>
      <c r="RBF15" s="64"/>
      <c r="RBG15" s="64"/>
      <c r="RBH15" s="64"/>
      <c r="RBI15" s="64"/>
      <c r="RBJ15" s="64"/>
      <c r="RBK15" s="64"/>
      <c r="RBL15" s="64"/>
      <c r="RBM15" s="64"/>
      <c r="RBN15" s="64"/>
      <c r="RBO15" s="64"/>
      <c r="RBP15" s="64"/>
      <c r="RBQ15" s="64"/>
      <c r="RBR15" s="64"/>
      <c r="RBS15" s="64"/>
      <c r="RBT15" s="64"/>
      <c r="RBU15" s="64"/>
      <c r="RBV15" s="64"/>
      <c r="RBW15" s="64"/>
      <c r="RBX15" s="64"/>
      <c r="RBY15" s="64"/>
      <c r="RBZ15" s="64"/>
      <c r="RCA15" s="64"/>
      <c r="RCB15" s="64"/>
      <c r="RCC15" s="64"/>
      <c r="RCD15" s="64"/>
      <c r="RCE15" s="64"/>
      <c r="RCF15" s="64"/>
      <c r="RCG15" s="64"/>
      <c r="RCH15" s="64"/>
      <c r="RCI15" s="64"/>
      <c r="RCJ15" s="64"/>
      <c r="RCK15" s="64"/>
      <c r="RCL15" s="64"/>
      <c r="RCM15" s="64"/>
      <c r="RCN15" s="64"/>
      <c r="RCO15" s="64"/>
      <c r="RCP15" s="64"/>
      <c r="RCQ15" s="64"/>
      <c r="RCR15" s="64"/>
      <c r="RCS15" s="64"/>
      <c r="RCT15" s="64"/>
      <c r="RCU15" s="64"/>
      <c r="RCV15" s="64"/>
      <c r="RCW15" s="64"/>
      <c r="RCX15" s="64"/>
      <c r="RCY15" s="64"/>
      <c r="RCZ15" s="64"/>
      <c r="RDA15" s="64"/>
      <c r="RDB15" s="64"/>
      <c r="RDC15" s="64"/>
      <c r="RDD15" s="64"/>
      <c r="RDE15" s="64"/>
      <c r="RDF15" s="64"/>
      <c r="RDG15" s="64"/>
      <c r="RDH15" s="64"/>
      <c r="RDI15" s="64"/>
      <c r="RDJ15" s="64"/>
      <c r="RDK15" s="64"/>
      <c r="RDL15" s="64"/>
      <c r="RDM15" s="64"/>
      <c r="RDN15" s="64"/>
      <c r="RDO15" s="64"/>
      <c r="RDP15" s="64"/>
      <c r="RDQ15" s="64"/>
      <c r="RDR15" s="64"/>
      <c r="RDS15" s="64"/>
      <c r="RDT15" s="64"/>
      <c r="RDU15" s="64"/>
      <c r="RDV15" s="64"/>
      <c r="RDW15" s="64"/>
      <c r="RDX15" s="64"/>
      <c r="RDY15" s="64"/>
      <c r="RDZ15" s="64"/>
      <c r="REA15" s="64"/>
      <c r="REB15" s="64"/>
      <c r="REC15" s="64"/>
      <c r="RED15" s="64"/>
      <c r="REE15" s="64"/>
      <c r="REF15" s="64"/>
      <c r="REG15" s="64"/>
      <c r="REH15" s="64"/>
      <c r="REI15" s="64"/>
      <c r="REJ15" s="64"/>
      <c r="REK15" s="64"/>
      <c r="REL15" s="64"/>
      <c r="REM15" s="64"/>
      <c r="REN15" s="64"/>
      <c r="REO15" s="64"/>
      <c r="REP15" s="64"/>
      <c r="REQ15" s="64"/>
      <c r="RER15" s="64"/>
      <c r="RES15" s="64"/>
      <c r="RET15" s="64"/>
      <c r="REU15" s="64"/>
      <c r="REV15" s="64"/>
      <c r="REW15" s="64"/>
      <c r="REX15" s="64"/>
      <c r="REY15" s="64"/>
      <c r="REZ15" s="64"/>
      <c r="RFA15" s="64"/>
      <c r="RFB15" s="64"/>
      <c r="RFC15" s="64"/>
      <c r="RFD15" s="64"/>
      <c r="RFE15" s="64"/>
      <c r="RFF15" s="64"/>
      <c r="RFG15" s="64"/>
      <c r="RFH15" s="64"/>
      <c r="RFI15" s="64"/>
      <c r="RFJ15" s="64"/>
      <c r="RFK15" s="64"/>
      <c r="RFL15" s="64"/>
      <c r="RFM15" s="64"/>
      <c r="RFN15" s="64"/>
      <c r="RFO15" s="64"/>
      <c r="RFP15" s="64"/>
      <c r="RFQ15" s="64"/>
      <c r="RFR15" s="64"/>
      <c r="RFS15" s="64"/>
      <c r="RFT15" s="64"/>
      <c r="RFU15" s="64"/>
      <c r="RFV15" s="64"/>
      <c r="RFW15" s="64"/>
      <c r="RFX15" s="64"/>
      <c r="RFY15" s="64"/>
      <c r="RFZ15" s="64"/>
      <c r="RGA15" s="64"/>
      <c r="RGB15" s="64"/>
      <c r="RGC15" s="64"/>
      <c r="RGD15" s="64"/>
      <c r="RGE15" s="64"/>
      <c r="RGF15" s="64"/>
      <c r="RGG15" s="64"/>
      <c r="RGH15" s="64"/>
      <c r="RGI15" s="64"/>
      <c r="RGJ15" s="64"/>
      <c r="RGK15" s="64"/>
      <c r="RGL15" s="64"/>
      <c r="RGM15" s="64"/>
      <c r="RGN15" s="64"/>
      <c r="RGO15" s="64"/>
      <c r="RGP15" s="64"/>
      <c r="RGQ15" s="64"/>
      <c r="RGR15" s="64"/>
      <c r="RGS15" s="64"/>
      <c r="RGT15" s="64"/>
      <c r="RGU15" s="64"/>
      <c r="RGV15" s="64"/>
      <c r="RGW15" s="64"/>
      <c r="RGX15" s="64"/>
      <c r="RGY15" s="64"/>
      <c r="RGZ15" s="64"/>
      <c r="RHA15" s="64"/>
      <c r="RHB15" s="64"/>
      <c r="RHC15" s="64"/>
      <c r="RHD15" s="64"/>
      <c r="RHE15" s="64"/>
      <c r="RHF15" s="64"/>
      <c r="RHG15" s="64"/>
      <c r="RHH15" s="64"/>
      <c r="RHI15" s="64"/>
      <c r="RHJ15" s="64"/>
      <c r="RHK15" s="64"/>
      <c r="RHL15" s="64"/>
      <c r="RHM15" s="64"/>
      <c r="RHN15" s="64"/>
      <c r="RHO15" s="64"/>
      <c r="RHP15" s="64"/>
      <c r="RHQ15" s="64"/>
      <c r="RHR15" s="64"/>
      <c r="RHS15" s="64"/>
      <c r="RHT15" s="64"/>
      <c r="RHU15" s="64"/>
      <c r="RHV15" s="64"/>
      <c r="RHW15" s="64"/>
      <c r="RHX15" s="64"/>
      <c r="RHY15" s="64"/>
      <c r="RHZ15" s="64"/>
      <c r="RIA15" s="64"/>
      <c r="RIB15" s="64"/>
      <c r="RIC15" s="64"/>
      <c r="RID15" s="64"/>
      <c r="RIE15" s="64"/>
      <c r="RIF15" s="64"/>
      <c r="RIG15" s="64"/>
      <c r="RIH15" s="64"/>
      <c r="RII15" s="64"/>
      <c r="RIJ15" s="64"/>
      <c r="RIK15" s="64"/>
      <c r="RIL15" s="64"/>
      <c r="RIM15" s="64"/>
      <c r="RIN15" s="64"/>
      <c r="RIO15" s="64"/>
      <c r="RIP15" s="64"/>
      <c r="RIQ15" s="64"/>
      <c r="RIR15" s="64"/>
      <c r="RIS15" s="64"/>
      <c r="RIT15" s="64"/>
      <c r="RIU15" s="64"/>
      <c r="RIV15" s="64"/>
      <c r="RIW15" s="64"/>
      <c r="RIX15" s="64"/>
      <c r="RIY15" s="64"/>
      <c r="RIZ15" s="64"/>
      <c r="RJA15" s="64"/>
      <c r="RJB15" s="64"/>
      <c r="RJC15" s="64"/>
      <c r="RJD15" s="64"/>
      <c r="RJE15" s="64"/>
      <c r="RJF15" s="64"/>
      <c r="RJG15" s="64"/>
      <c r="RJH15" s="64"/>
      <c r="RJI15" s="64"/>
      <c r="RJJ15" s="64"/>
      <c r="RJK15" s="64"/>
      <c r="RJL15" s="64"/>
      <c r="RJM15" s="64"/>
      <c r="RJN15" s="64"/>
      <c r="RJO15" s="64"/>
      <c r="RJP15" s="64"/>
      <c r="RJQ15" s="64"/>
      <c r="RJR15" s="64"/>
      <c r="RJS15" s="64"/>
      <c r="RJT15" s="64"/>
      <c r="RJU15" s="64"/>
      <c r="RJV15" s="64"/>
      <c r="RJW15" s="64"/>
      <c r="RJX15" s="64"/>
      <c r="RJY15" s="64"/>
      <c r="RJZ15" s="64"/>
      <c r="RKA15" s="64"/>
      <c r="RKB15" s="64"/>
      <c r="RKC15" s="64"/>
      <c r="RKD15" s="64"/>
      <c r="RKE15" s="64"/>
      <c r="RKF15" s="64"/>
      <c r="RKG15" s="64"/>
      <c r="RKH15" s="64"/>
      <c r="RKI15" s="64"/>
      <c r="RKJ15" s="64"/>
      <c r="RKK15" s="64"/>
      <c r="RKL15" s="64"/>
      <c r="RKM15" s="64"/>
      <c r="RKN15" s="64"/>
      <c r="RKO15" s="64"/>
      <c r="RKP15" s="64"/>
      <c r="RKQ15" s="64"/>
      <c r="RKR15" s="64"/>
      <c r="RKY15" s="64"/>
      <c r="RKZ15" s="64"/>
      <c r="RLA15" s="64"/>
      <c r="RLB15" s="64"/>
      <c r="RLC15" s="64"/>
      <c r="RLD15" s="64"/>
      <c r="RLE15" s="64"/>
      <c r="RLF15" s="64"/>
      <c r="RLG15" s="64"/>
      <c r="RLH15" s="64"/>
      <c r="RLI15" s="64"/>
      <c r="RLJ15" s="64"/>
      <c r="RLK15" s="64"/>
      <c r="RLL15" s="64"/>
      <c r="RLM15" s="64"/>
      <c r="RLN15" s="64"/>
      <c r="RLO15" s="64"/>
      <c r="RLP15" s="64"/>
      <c r="RLQ15" s="64"/>
      <c r="RLR15" s="64"/>
      <c r="RLS15" s="64"/>
      <c r="RLT15" s="64"/>
      <c r="RLU15" s="64"/>
      <c r="RLV15" s="64"/>
      <c r="RLW15" s="64"/>
      <c r="RLX15" s="64"/>
      <c r="RLY15" s="64"/>
      <c r="RLZ15" s="64"/>
      <c r="RMA15" s="64"/>
      <c r="RMB15" s="64"/>
      <c r="RMC15" s="64"/>
      <c r="RMD15" s="64"/>
      <c r="RME15" s="64"/>
      <c r="RMF15" s="64"/>
      <c r="RMG15" s="64"/>
      <c r="RMH15" s="64"/>
      <c r="RMI15" s="64"/>
      <c r="RMJ15" s="64"/>
      <c r="RMK15" s="64"/>
      <c r="RML15" s="64"/>
      <c r="RMM15" s="64"/>
      <c r="RMN15" s="64"/>
      <c r="RMO15" s="64"/>
      <c r="RMP15" s="64"/>
      <c r="RMQ15" s="64"/>
      <c r="RMR15" s="64"/>
      <c r="RMS15" s="64"/>
      <c r="RMT15" s="64"/>
      <c r="RMU15" s="64"/>
      <c r="RMV15" s="64"/>
      <c r="RMW15" s="64"/>
      <c r="RMX15" s="64"/>
      <c r="RMY15" s="64"/>
      <c r="RMZ15" s="64"/>
      <c r="RNA15" s="64"/>
      <c r="RNB15" s="64"/>
      <c r="RNC15" s="64"/>
      <c r="RND15" s="64"/>
      <c r="RNE15" s="64"/>
      <c r="RNF15" s="64"/>
      <c r="RNG15" s="64"/>
      <c r="RNH15" s="64"/>
      <c r="RNI15" s="64"/>
      <c r="RNJ15" s="64"/>
      <c r="RNK15" s="64"/>
      <c r="RNL15" s="64"/>
      <c r="RNM15" s="64"/>
      <c r="RNN15" s="64"/>
      <c r="RNO15" s="64"/>
      <c r="RNP15" s="64"/>
      <c r="RNQ15" s="64"/>
      <c r="RNR15" s="64"/>
      <c r="RNS15" s="64"/>
      <c r="RNT15" s="64"/>
      <c r="RNU15" s="64"/>
      <c r="RNV15" s="64"/>
      <c r="RNW15" s="64"/>
      <c r="RNX15" s="64"/>
      <c r="RNY15" s="64"/>
      <c r="RNZ15" s="64"/>
      <c r="ROA15" s="64"/>
      <c r="ROB15" s="64"/>
      <c r="ROC15" s="64"/>
      <c r="ROD15" s="64"/>
      <c r="ROE15" s="64"/>
      <c r="ROF15" s="64"/>
      <c r="ROG15" s="64"/>
      <c r="ROH15" s="64"/>
      <c r="ROI15" s="64"/>
      <c r="ROJ15" s="64"/>
      <c r="ROK15" s="64"/>
      <c r="ROL15" s="64"/>
      <c r="ROM15" s="64"/>
      <c r="RON15" s="64"/>
      <c r="ROO15" s="64"/>
      <c r="ROP15" s="64"/>
      <c r="ROQ15" s="64"/>
      <c r="ROR15" s="64"/>
      <c r="ROS15" s="64"/>
      <c r="ROT15" s="64"/>
      <c r="ROU15" s="64"/>
      <c r="ROV15" s="64"/>
      <c r="ROW15" s="64"/>
      <c r="ROX15" s="64"/>
      <c r="ROY15" s="64"/>
      <c r="ROZ15" s="64"/>
      <c r="RPA15" s="64"/>
      <c r="RPB15" s="64"/>
      <c r="RPC15" s="64"/>
      <c r="RPD15" s="64"/>
      <c r="RPE15" s="64"/>
      <c r="RPF15" s="64"/>
      <c r="RPG15" s="64"/>
      <c r="RPH15" s="64"/>
      <c r="RPI15" s="64"/>
      <c r="RPJ15" s="64"/>
      <c r="RPK15" s="64"/>
      <c r="RPL15" s="64"/>
      <c r="RPM15" s="64"/>
      <c r="RPN15" s="64"/>
      <c r="RPO15" s="64"/>
      <c r="RPP15" s="64"/>
      <c r="RPQ15" s="64"/>
      <c r="RPR15" s="64"/>
      <c r="RPS15" s="64"/>
      <c r="RPT15" s="64"/>
      <c r="RPU15" s="64"/>
      <c r="RPV15" s="64"/>
      <c r="RPW15" s="64"/>
      <c r="RPX15" s="64"/>
      <c r="RPY15" s="64"/>
      <c r="RPZ15" s="64"/>
      <c r="RQA15" s="64"/>
      <c r="RQB15" s="64"/>
      <c r="RQC15" s="64"/>
      <c r="RQD15" s="64"/>
      <c r="RQE15" s="64"/>
      <c r="RQF15" s="64"/>
      <c r="RQG15" s="64"/>
      <c r="RQH15" s="64"/>
      <c r="RQI15" s="64"/>
      <c r="RQJ15" s="64"/>
      <c r="RQK15" s="64"/>
      <c r="RQL15" s="64"/>
      <c r="RQM15" s="64"/>
      <c r="RQN15" s="64"/>
      <c r="RQO15" s="64"/>
      <c r="RQP15" s="64"/>
      <c r="RQQ15" s="64"/>
      <c r="RQR15" s="64"/>
      <c r="RQS15" s="64"/>
      <c r="RQT15" s="64"/>
      <c r="RQU15" s="64"/>
      <c r="RQV15" s="64"/>
      <c r="RQW15" s="64"/>
      <c r="RQX15" s="64"/>
      <c r="RQY15" s="64"/>
      <c r="RQZ15" s="64"/>
      <c r="RRA15" s="64"/>
      <c r="RRB15" s="64"/>
      <c r="RRC15" s="64"/>
      <c r="RRD15" s="64"/>
      <c r="RRE15" s="64"/>
      <c r="RRF15" s="64"/>
      <c r="RRG15" s="64"/>
      <c r="RRH15" s="64"/>
      <c r="RRI15" s="64"/>
      <c r="RRJ15" s="64"/>
      <c r="RRK15" s="64"/>
      <c r="RRL15" s="64"/>
      <c r="RRM15" s="64"/>
      <c r="RRN15" s="64"/>
      <c r="RRO15" s="64"/>
      <c r="RRP15" s="64"/>
      <c r="RRQ15" s="64"/>
      <c r="RRR15" s="64"/>
      <c r="RRS15" s="64"/>
      <c r="RRT15" s="64"/>
      <c r="RRU15" s="64"/>
      <c r="RRV15" s="64"/>
      <c r="RRW15" s="64"/>
      <c r="RRX15" s="64"/>
      <c r="RRY15" s="64"/>
      <c r="RRZ15" s="64"/>
      <c r="RSA15" s="64"/>
      <c r="RSB15" s="64"/>
      <c r="RSC15" s="64"/>
      <c r="RSD15" s="64"/>
      <c r="RSE15" s="64"/>
      <c r="RSF15" s="64"/>
      <c r="RSG15" s="64"/>
      <c r="RSH15" s="64"/>
      <c r="RSI15" s="64"/>
      <c r="RSJ15" s="64"/>
      <c r="RSK15" s="64"/>
      <c r="RSL15" s="64"/>
      <c r="RSM15" s="64"/>
      <c r="RSN15" s="64"/>
      <c r="RSO15" s="64"/>
      <c r="RSP15" s="64"/>
      <c r="RSQ15" s="64"/>
      <c r="RSR15" s="64"/>
      <c r="RSS15" s="64"/>
      <c r="RST15" s="64"/>
      <c r="RSU15" s="64"/>
      <c r="RSV15" s="64"/>
      <c r="RSW15" s="64"/>
      <c r="RSX15" s="64"/>
      <c r="RSY15" s="64"/>
      <c r="RSZ15" s="64"/>
      <c r="RTA15" s="64"/>
      <c r="RTB15" s="64"/>
      <c r="RTC15" s="64"/>
      <c r="RTD15" s="64"/>
      <c r="RTE15" s="64"/>
      <c r="RTF15" s="64"/>
      <c r="RTG15" s="64"/>
      <c r="RTH15" s="64"/>
      <c r="RTI15" s="64"/>
      <c r="RTJ15" s="64"/>
      <c r="RTK15" s="64"/>
      <c r="RTL15" s="64"/>
      <c r="RTM15" s="64"/>
      <c r="RTN15" s="64"/>
      <c r="RTO15" s="64"/>
      <c r="RTP15" s="64"/>
      <c r="RTQ15" s="64"/>
      <c r="RTR15" s="64"/>
      <c r="RTS15" s="64"/>
      <c r="RTT15" s="64"/>
      <c r="RTU15" s="64"/>
      <c r="RTV15" s="64"/>
      <c r="RTW15" s="64"/>
      <c r="RTX15" s="64"/>
      <c r="RTY15" s="64"/>
      <c r="RTZ15" s="64"/>
      <c r="RUA15" s="64"/>
      <c r="RUB15" s="64"/>
      <c r="RUC15" s="64"/>
      <c r="RUD15" s="64"/>
      <c r="RUE15" s="64"/>
      <c r="RUF15" s="64"/>
      <c r="RUG15" s="64"/>
      <c r="RUH15" s="64"/>
      <c r="RUI15" s="64"/>
      <c r="RUJ15" s="64"/>
      <c r="RUK15" s="64"/>
      <c r="RUL15" s="64"/>
      <c r="RUM15" s="64"/>
      <c r="RUN15" s="64"/>
      <c r="RUU15" s="64"/>
      <c r="RUV15" s="64"/>
      <c r="RUW15" s="64"/>
      <c r="RUX15" s="64"/>
      <c r="RUY15" s="64"/>
      <c r="RUZ15" s="64"/>
      <c r="RVA15" s="64"/>
      <c r="RVB15" s="64"/>
      <c r="RVC15" s="64"/>
      <c r="RVD15" s="64"/>
      <c r="RVE15" s="64"/>
      <c r="RVF15" s="64"/>
      <c r="RVG15" s="64"/>
      <c r="RVH15" s="64"/>
      <c r="RVI15" s="64"/>
      <c r="RVJ15" s="64"/>
      <c r="RVK15" s="64"/>
      <c r="RVL15" s="64"/>
      <c r="RVM15" s="64"/>
      <c r="RVN15" s="64"/>
      <c r="RVO15" s="64"/>
      <c r="RVP15" s="64"/>
      <c r="RVQ15" s="64"/>
      <c r="RVR15" s="64"/>
      <c r="RVS15" s="64"/>
      <c r="RVT15" s="64"/>
      <c r="RVU15" s="64"/>
      <c r="RVV15" s="64"/>
      <c r="RVW15" s="64"/>
      <c r="RVX15" s="64"/>
      <c r="RVY15" s="64"/>
      <c r="RVZ15" s="64"/>
      <c r="RWA15" s="64"/>
      <c r="RWB15" s="64"/>
      <c r="RWC15" s="64"/>
      <c r="RWD15" s="64"/>
      <c r="RWE15" s="64"/>
      <c r="RWF15" s="64"/>
      <c r="RWG15" s="64"/>
      <c r="RWH15" s="64"/>
      <c r="RWI15" s="64"/>
      <c r="RWJ15" s="64"/>
      <c r="RWK15" s="64"/>
      <c r="RWL15" s="64"/>
      <c r="RWM15" s="64"/>
      <c r="RWN15" s="64"/>
      <c r="RWO15" s="64"/>
      <c r="RWP15" s="64"/>
      <c r="RWQ15" s="64"/>
      <c r="RWR15" s="64"/>
      <c r="RWS15" s="64"/>
      <c r="RWT15" s="64"/>
      <c r="RWU15" s="64"/>
      <c r="RWV15" s="64"/>
      <c r="RWW15" s="64"/>
      <c r="RWX15" s="64"/>
      <c r="RWY15" s="64"/>
      <c r="RWZ15" s="64"/>
      <c r="RXA15" s="64"/>
      <c r="RXB15" s="64"/>
      <c r="RXC15" s="64"/>
      <c r="RXD15" s="64"/>
      <c r="RXE15" s="64"/>
      <c r="RXF15" s="64"/>
      <c r="RXG15" s="64"/>
      <c r="RXH15" s="64"/>
      <c r="RXI15" s="64"/>
      <c r="RXJ15" s="64"/>
      <c r="RXK15" s="64"/>
      <c r="RXL15" s="64"/>
      <c r="RXM15" s="64"/>
      <c r="RXN15" s="64"/>
      <c r="RXO15" s="64"/>
      <c r="RXP15" s="64"/>
      <c r="RXQ15" s="64"/>
      <c r="RXR15" s="64"/>
      <c r="RXS15" s="64"/>
      <c r="RXT15" s="64"/>
      <c r="RXU15" s="64"/>
      <c r="RXV15" s="64"/>
      <c r="RXW15" s="64"/>
      <c r="RXX15" s="64"/>
      <c r="RXY15" s="64"/>
      <c r="RXZ15" s="64"/>
      <c r="RYA15" s="64"/>
      <c r="RYB15" s="64"/>
      <c r="RYC15" s="64"/>
      <c r="RYD15" s="64"/>
      <c r="RYE15" s="64"/>
      <c r="RYF15" s="64"/>
      <c r="RYG15" s="64"/>
      <c r="RYH15" s="64"/>
      <c r="RYI15" s="64"/>
      <c r="RYJ15" s="64"/>
      <c r="RYK15" s="64"/>
      <c r="RYL15" s="64"/>
      <c r="RYM15" s="64"/>
      <c r="RYN15" s="64"/>
      <c r="RYO15" s="64"/>
      <c r="RYP15" s="64"/>
      <c r="RYQ15" s="64"/>
      <c r="RYR15" s="64"/>
      <c r="RYS15" s="64"/>
      <c r="RYT15" s="64"/>
      <c r="RYU15" s="64"/>
      <c r="RYV15" s="64"/>
      <c r="RYW15" s="64"/>
      <c r="RYX15" s="64"/>
      <c r="RYY15" s="64"/>
      <c r="RYZ15" s="64"/>
      <c r="RZA15" s="64"/>
      <c r="RZB15" s="64"/>
      <c r="RZC15" s="64"/>
      <c r="RZD15" s="64"/>
      <c r="RZE15" s="64"/>
      <c r="RZF15" s="64"/>
      <c r="RZG15" s="64"/>
      <c r="RZH15" s="64"/>
      <c r="RZI15" s="64"/>
      <c r="RZJ15" s="64"/>
      <c r="RZK15" s="64"/>
      <c r="RZL15" s="64"/>
      <c r="RZM15" s="64"/>
      <c r="RZN15" s="64"/>
      <c r="RZO15" s="64"/>
      <c r="RZP15" s="64"/>
      <c r="RZQ15" s="64"/>
      <c r="RZR15" s="64"/>
      <c r="RZS15" s="64"/>
      <c r="RZT15" s="64"/>
      <c r="RZU15" s="64"/>
      <c r="RZV15" s="64"/>
      <c r="RZW15" s="64"/>
      <c r="RZX15" s="64"/>
      <c r="RZY15" s="64"/>
      <c r="RZZ15" s="64"/>
      <c r="SAA15" s="64"/>
      <c r="SAB15" s="64"/>
      <c r="SAC15" s="64"/>
      <c r="SAD15" s="64"/>
      <c r="SAE15" s="64"/>
      <c r="SAF15" s="64"/>
      <c r="SAG15" s="64"/>
      <c r="SAH15" s="64"/>
      <c r="SAI15" s="64"/>
      <c r="SAJ15" s="64"/>
      <c r="SAK15" s="64"/>
      <c r="SAL15" s="64"/>
      <c r="SAM15" s="64"/>
      <c r="SAN15" s="64"/>
      <c r="SAO15" s="64"/>
      <c r="SAP15" s="64"/>
      <c r="SAQ15" s="64"/>
      <c r="SAR15" s="64"/>
      <c r="SAS15" s="64"/>
      <c r="SAT15" s="64"/>
      <c r="SAU15" s="64"/>
      <c r="SAV15" s="64"/>
      <c r="SAW15" s="64"/>
      <c r="SAX15" s="64"/>
      <c r="SAY15" s="64"/>
      <c r="SAZ15" s="64"/>
      <c r="SBA15" s="64"/>
      <c r="SBB15" s="64"/>
      <c r="SBC15" s="64"/>
      <c r="SBD15" s="64"/>
      <c r="SBE15" s="64"/>
      <c r="SBF15" s="64"/>
      <c r="SBG15" s="64"/>
      <c r="SBH15" s="64"/>
      <c r="SBI15" s="64"/>
      <c r="SBJ15" s="64"/>
      <c r="SBK15" s="64"/>
      <c r="SBL15" s="64"/>
      <c r="SBM15" s="64"/>
      <c r="SBN15" s="64"/>
      <c r="SBO15" s="64"/>
      <c r="SBP15" s="64"/>
      <c r="SBQ15" s="64"/>
      <c r="SBR15" s="64"/>
      <c r="SBS15" s="64"/>
      <c r="SBT15" s="64"/>
      <c r="SBU15" s="64"/>
      <c r="SBV15" s="64"/>
      <c r="SBW15" s="64"/>
      <c r="SBX15" s="64"/>
      <c r="SBY15" s="64"/>
      <c r="SBZ15" s="64"/>
      <c r="SCA15" s="64"/>
      <c r="SCB15" s="64"/>
      <c r="SCC15" s="64"/>
      <c r="SCD15" s="64"/>
      <c r="SCE15" s="64"/>
      <c r="SCF15" s="64"/>
      <c r="SCG15" s="64"/>
      <c r="SCH15" s="64"/>
      <c r="SCI15" s="64"/>
      <c r="SCJ15" s="64"/>
      <c r="SCK15" s="64"/>
      <c r="SCL15" s="64"/>
      <c r="SCM15" s="64"/>
      <c r="SCN15" s="64"/>
      <c r="SCO15" s="64"/>
      <c r="SCP15" s="64"/>
      <c r="SCQ15" s="64"/>
      <c r="SCR15" s="64"/>
      <c r="SCS15" s="64"/>
      <c r="SCT15" s="64"/>
      <c r="SCU15" s="64"/>
      <c r="SCV15" s="64"/>
      <c r="SCW15" s="64"/>
      <c r="SCX15" s="64"/>
      <c r="SCY15" s="64"/>
      <c r="SCZ15" s="64"/>
      <c r="SDA15" s="64"/>
      <c r="SDB15" s="64"/>
      <c r="SDC15" s="64"/>
      <c r="SDD15" s="64"/>
      <c r="SDE15" s="64"/>
      <c r="SDF15" s="64"/>
      <c r="SDG15" s="64"/>
      <c r="SDH15" s="64"/>
      <c r="SDI15" s="64"/>
      <c r="SDJ15" s="64"/>
      <c r="SDK15" s="64"/>
      <c r="SDL15" s="64"/>
      <c r="SDM15" s="64"/>
      <c r="SDN15" s="64"/>
      <c r="SDO15" s="64"/>
      <c r="SDP15" s="64"/>
      <c r="SDQ15" s="64"/>
      <c r="SDR15" s="64"/>
      <c r="SDS15" s="64"/>
      <c r="SDT15" s="64"/>
      <c r="SDU15" s="64"/>
      <c r="SDV15" s="64"/>
      <c r="SDW15" s="64"/>
      <c r="SDX15" s="64"/>
      <c r="SDY15" s="64"/>
      <c r="SDZ15" s="64"/>
      <c r="SEA15" s="64"/>
      <c r="SEB15" s="64"/>
      <c r="SEC15" s="64"/>
      <c r="SED15" s="64"/>
      <c r="SEE15" s="64"/>
      <c r="SEF15" s="64"/>
      <c r="SEG15" s="64"/>
      <c r="SEH15" s="64"/>
      <c r="SEI15" s="64"/>
      <c r="SEJ15" s="64"/>
      <c r="SEQ15" s="64"/>
      <c r="SER15" s="64"/>
      <c r="SES15" s="64"/>
      <c r="SET15" s="64"/>
      <c r="SEU15" s="64"/>
      <c r="SEV15" s="64"/>
      <c r="SEW15" s="64"/>
      <c r="SEX15" s="64"/>
      <c r="SEY15" s="64"/>
      <c r="SEZ15" s="64"/>
      <c r="SFA15" s="64"/>
      <c r="SFB15" s="64"/>
      <c r="SFC15" s="64"/>
      <c r="SFD15" s="64"/>
      <c r="SFE15" s="64"/>
      <c r="SFF15" s="64"/>
      <c r="SFG15" s="64"/>
      <c r="SFH15" s="64"/>
      <c r="SFI15" s="64"/>
      <c r="SFJ15" s="64"/>
      <c r="SFK15" s="64"/>
      <c r="SFL15" s="64"/>
      <c r="SFM15" s="64"/>
      <c r="SFN15" s="64"/>
      <c r="SFO15" s="64"/>
      <c r="SFP15" s="64"/>
      <c r="SFQ15" s="64"/>
      <c r="SFR15" s="64"/>
      <c r="SFS15" s="64"/>
      <c r="SFT15" s="64"/>
      <c r="SFU15" s="64"/>
      <c r="SFV15" s="64"/>
      <c r="SFW15" s="64"/>
      <c r="SFX15" s="64"/>
      <c r="SFY15" s="64"/>
      <c r="SFZ15" s="64"/>
      <c r="SGA15" s="64"/>
      <c r="SGB15" s="64"/>
      <c r="SGC15" s="64"/>
      <c r="SGD15" s="64"/>
      <c r="SGE15" s="64"/>
      <c r="SGF15" s="64"/>
      <c r="SGG15" s="64"/>
      <c r="SGH15" s="64"/>
      <c r="SGI15" s="64"/>
      <c r="SGJ15" s="64"/>
      <c r="SGK15" s="64"/>
      <c r="SGL15" s="64"/>
      <c r="SGM15" s="64"/>
      <c r="SGN15" s="64"/>
      <c r="SGO15" s="64"/>
      <c r="SGP15" s="64"/>
      <c r="SGQ15" s="64"/>
      <c r="SGR15" s="64"/>
      <c r="SGS15" s="64"/>
      <c r="SGT15" s="64"/>
      <c r="SGU15" s="64"/>
      <c r="SGV15" s="64"/>
      <c r="SGW15" s="64"/>
      <c r="SGX15" s="64"/>
      <c r="SGY15" s="64"/>
      <c r="SGZ15" s="64"/>
      <c r="SHA15" s="64"/>
      <c r="SHB15" s="64"/>
      <c r="SHC15" s="64"/>
      <c r="SHD15" s="64"/>
      <c r="SHE15" s="64"/>
      <c r="SHF15" s="64"/>
      <c r="SHG15" s="64"/>
      <c r="SHH15" s="64"/>
      <c r="SHI15" s="64"/>
      <c r="SHJ15" s="64"/>
      <c r="SHK15" s="64"/>
      <c r="SHL15" s="64"/>
      <c r="SHM15" s="64"/>
      <c r="SHN15" s="64"/>
      <c r="SHO15" s="64"/>
      <c r="SHP15" s="64"/>
      <c r="SHQ15" s="64"/>
      <c r="SHR15" s="64"/>
      <c r="SHS15" s="64"/>
      <c r="SHT15" s="64"/>
      <c r="SHU15" s="64"/>
      <c r="SHV15" s="64"/>
      <c r="SHW15" s="64"/>
      <c r="SHX15" s="64"/>
      <c r="SHY15" s="64"/>
      <c r="SHZ15" s="64"/>
      <c r="SIA15" s="64"/>
      <c r="SIB15" s="64"/>
      <c r="SIC15" s="64"/>
      <c r="SID15" s="64"/>
      <c r="SIE15" s="64"/>
      <c r="SIF15" s="64"/>
      <c r="SIG15" s="64"/>
      <c r="SIH15" s="64"/>
      <c r="SII15" s="64"/>
      <c r="SIJ15" s="64"/>
      <c r="SIK15" s="64"/>
      <c r="SIL15" s="64"/>
      <c r="SIM15" s="64"/>
      <c r="SIN15" s="64"/>
      <c r="SIO15" s="64"/>
      <c r="SIP15" s="64"/>
      <c r="SIQ15" s="64"/>
      <c r="SIR15" s="64"/>
      <c r="SIS15" s="64"/>
      <c r="SIT15" s="64"/>
      <c r="SIU15" s="64"/>
      <c r="SIV15" s="64"/>
      <c r="SIW15" s="64"/>
      <c r="SIX15" s="64"/>
      <c r="SIY15" s="64"/>
      <c r="SIZ15" s="64"/>
      <c r="SJA15" s="64"/>
      <c r="SJB15" s="64"/>
      <c r="SJC15" s="64"/>
      <c r="SJD15" s="64"/>
      <c r="SJE15" s="64"/>
      <c r="SJF15" s="64"/>
      <c r="SJG15" s="64"/>
      <c r="SJH15" s="64"/>
      <c r="SJI15" s="64"/>
      <c r="SJJ15" s="64"/>
      <c r="SJK15" s="64"/>
      <c r="SJL15" s="64"/>
      <c r="SJM15" s="64"/>
      <c r="SJN15" s="64"/>
      <c r="SJO15" s="64"/>
      <c r="SJP15" s="64"/>
      <c r="SJQ15" s="64"/>
      <c r="SJR15" s="64"/>
      <c r="SJS15" s="64"/>
      <c r="SJT15" s="64"/>
      <c r="SJU15" s="64"/>
      <c r="SJV15" s="64"/>
      <c r="SJW15" s="64"/>
      <c r="SJX15" s="64"/>
      <c r="SJY15" s="64"/>
      <c r="SJZ15" s="64"/>
      <c r="SKA15" s="64"/>
      <c r="SKB15" s="64"/>
      <c r="SKC15" s="64"/>
      <c r="SKD15" s="64"/>
      <c r="SKE15" s="64"/>
      <c r="SKF15" s="64"/>
      <c r="SKG15" s="64"/>
      <c r="SKH15" s="64"/>
      <c r="SKI15" s="64"/>
      <c r="SKJ15" s="64"/>
      <c r="SKK15" s="64"/>
      <c r="SKL15" s="64"/>
      <c r="SKM15" s="64"/>
      <c r="SKN15" s="64"/>
      <c r="SKO15" s="64"/>
      <c r="SKP15" s="64"/>
      <c r="SKQ15" s="64"/>
      <c r="SKR15" s="64"/>
      <c r="SKS15" s="64"/>
      <c r="SKT15" s="64"/>
      <c r="SKU15" s="64"/>
      <c r="SKV15" s="64"/>
      <c r="SKW15" s="64"/>
      <c r="SKX15" s="64"/>
      <c r="SKY15" s="64"/>
      <c r="SKZ15" s="64"/>
      <c r="SLA15" s="64"/>
      <c r="SLB15" s="64"/>
      <c r="SLC15" s="64"/>
      <c r="SLD15" s="64"/>
      <c r="SLE15" s="64"/>
      <c r="SLF15" s="64"/>
      <c r="SLG15" s="64"/>
      <c r="SLH15" s="64"/>
      <c r="SLI15" s="64"/>
      <c r="SLJ15" s="64"/>
      <c r="SLK15" s="64"/>
      <c r="SLL15" s="64"/>
      <c r="SLM15" s="64"/>
      <c r="SLN15" s="64"/>
      <c r="SLO15" s="64"/>
      <c r="SLP15" s="64"/>
      <c r="SLQ15" s="64"/>
      <c r="SLR15" s="64"/>
      <c r="SLS15" s="64"/>
      <c r="SLT15" s="64"/>
      <c r="SLU15" s="64"/>
      <c r="SLV15" s="64"/>
      <c r="SLW15" s="64"/>
      <c r="SLX15" s="64"/>
      <c r="SLY15" s="64"/>
      <c r="SLZ15" s="64"/>
      <c r="SMA15" s="64"/>
      <c r="SMB15" s="64"/>
      <c r="SMC15" s="64"/>
      <c r="SMD15" s="64"/>
      <c r="SME15" s="64"/>
      <c r="SMF15" s="64"/>
      <c r="SMG15" s="64"/>
      <c r="SMH15" s="64"/>
      <c r="SMI15" s="64"/>
      <c r="SMJ15" s="64"/>
      <c r="SMK15" s="64"/>
      <c r="SML15" s="64"/>
      <c r="SMM15" s="64"/>
      <c r="SMN15" s="64"/>
      <c r="SMO15" s="64"/>
      <c r="SMP15" s="64"/>
      <c r="SMQ15" s="64"/>
      <c r="SMR15" s="64"/>
      <c r="SMS15" s="64"/>
      <c r="SMT15" s="64"/>
      <c r="SMU15" s="64"/>
      <c r="SMV15" s="64"/>
      <c r="SMW15" s="64"/>
      <c r="SMX15" s="64"/>
      <c r="SMY15" s="64"/>
      <c r="SMZ15" s="64"/>
      <c r="SNA15" s="64"/>
      <c r="SNB15" s="64"/>
      <c r="SNC15" s="64"/>
      <c r="SND15" s="64"/>
      <c r="SNE15" s="64"/>
      <c r="SNF15" s="64"/>
      <c r="SNG15" s="64"/>
      <c r="SNH15" s="64"/>
      <c r="SNI15" s="64"/>
      <c r="SNJ15" s="64"/>
      <c r="SNK15" s="64"/>
      <c r="SNL15" s="64"/>
      <c r="SNM15" s="64"/>
      <c r="SNN15" s="64"/>
      <c r="SNO15" s="64"/>
      <c r="SNP15" s="64"/>
      <c r="SNQ15" s="64"/>
      <c r="SNR15" s="64"/>
      <c r="SNS15" s="64"/>
      <c r="SNT15" s="64"/>
      <c r="SNU15" s="64"/>
      <c r="SNV15" s="64"/>
      <c r="SNW15" s="64"/>
      <c r="SNX15" s="64"/>
      <c r="SNY15" s="64"/>
      <c r="SNZ15" s="64"/>
      <c r="SOA15" s="64"/>
      <c r="SOB15" s="64"/>
      <c r="SOC15" s="64"/>
      <c r="SOD15" s="64"/>
      <c r="SOE15" s="64"/>
      <c r="SOF15" s="64"/>
      <c r="SOM15" s="64"/>
      <c r="SON15" s="64"/>
      <c r="SOO15" s="64"/>
      <c r="SOP15" s="64"/>
      <c r="SOQ15" s="64"/>
      <c r="SOR15" s="64"/>
      <c r="SOS15" s="64"/>
      <c r="SOT15" s="64"/>
      <c r="SOU15" s="64"/>
      <c r="SOV15" s="64"/>
      <c r="SOW15" s="64"/>
      <c r="SOX15" s="64"/>
      <c r="SOY15" s="64"/>
      <c r="SOZ15" s="64"/>
      <c r="SPA15" s="64"/>
      <c r="SPB15" s="64"/>
      <c r="SPC15" s="64"/>
      <c r="SPD15" s="64"/>
      <c r="SPE15" s="64"/>
      <c r="SPF15" s="64"/>
      <c r="SPG15" s="64"/>
      <c r="SPH15" s="64"/>
      <c r="SPI15" s="64"/>
      <c r="SPJ15" s="64"/>
      <c r="SPK15" s="64"/>
      <c r="SPL15" s="64"/>
      <c r="SPM15" s="64"/>
      <c r="SPN15" s="64"/>
      <c r="SPO15" s="64"/>
      <c r="SPP15" s="64"/>
      <c r="SPQ15" s="64"/>
      <c r="SPR15" s="64"/>
      <c r="SPS15" s="64"/>
      <c r="SPT15" s="64"/>
      <c r="SPU15" s="64"/>
      <c r="SPV15" s="64"/>
      <c r="SPW15" s="64"/>
      <c r="SPX15" s="64"/>
      <c r="SPY15" s="64"/>
      <c r="SPZ15" s="64"/>
      <c r="SQA15" s="64"/>
      <c r="SQB15" s="64"/>
      <c r="SQC15" s="64"/>
      <c r="SQD15" s="64"/>
      <c r="SQE15" s="64"/>
      <c r="SQF15" s="64"/>
      <c r="SQG15" s="64"/>
      <c r="SQH15" s="64"/>
      <c r="SQI15" s="64"/>
      <c r="SQJ15" s="64"/>
      <c r="SQK15" s="64"/>
      <c r="SQL15" s="64"/>
      <c r="SQM15" s="64"/>
      <c r="SQN15" s="64"/>
      <c r="SQO15" s="64"/>
      <c r="SQP15" s="64"/>
      <c r="SQQ15" s="64"/>
      <c r="SQR15" s="64"/>
      <c r="SQS15" s="64"/>
      <c r="SQT15" s="64"/>
      <c r="SQU15" s="64"/>
      <c r="SQV15" s="64"/>
      <c r="SQW15" s="64"/>
      <c r="SQX15" s="64"/>
      <c r="SQY15" s="64"/>
      <c r="SQZ15" s="64"/>
      <c r="SRA15" s="64"/>
      <c r="SRB15" s="64"/>
      <c r="SRC15" s="64"/>
      <c r="SRD15" s="64"/>
      <c r="SRE15" s="64"/>
      <c r="SRF15" s="64"/>
      <c r="SRG15" s="64"/>
      <c r="SRH15" s="64"/>
      <c r="SRI15" s="64"/>
      <c r="SRJ15" s="64"/>
      <c r="SRK15" s="64"/>
      <c r="SRL15" s="64"/>
      <c r="SRM15" s="64"/>
      <c r="SRN15" s="64"/>
      <c r="SRO15" s="64"/>
      <c r="SRP15" s="64"/>
      <c r="SRQ15" s="64"/>
      <c r="SRR15" s="64"/>
      <c r="SRS15" s="64"/>
      <c r="SRT15" s="64"/>
      <c r="SRU15" s="64"/>
      <c r="SRV15" s="64"/>
      <c r="SRW15" s="64"/>
      <c r="SRX15" s="64"/>
      <c r="SRY15" s="64"/>
      <c r="SRZ15" s="64"/>
      <c r="SSA15" s="64"/>
      <c r="SSB15" s="64"/>
      <c r="SSC15" s="64"/>
      <c r="SSD15" s="64"/>
      <c r="SSE15" s="64"/>
      <c r="SSF15" s="64"/>
      <c r="SSG15" s="64"/>
      <c r="SSH15" s="64"/>
      <c r="SSI15" s="64"/>
      <c r="SSJ15" s="64"/>
      <c r="SSK15" s="64"/>
      <c r="SSL15" s="64"/>
      <c r="SSM15" s="64"/>
      <c r="SSN15" s="64"/>
      <c r="SSO15" s="64"/>
      <c r="SSP15" s="64"/>
      <c r="SSQ15" s="64"/>
      <c r="SSR15" s="64"/>
      <c r="SSS15" s="64"/>
      <c r="SST15" s="64"/>
      <c r="SSU15" s="64"/>
      <c r="SSV15" s="64"/>
      <c r="SSW15" s="64"/>
      <c r="SSX15" s="64"/>
      <c r="SSY15" s="64"/>
      <c r="SSZ15" s="64"/>
      <c r="STA15" s="64"/>
      <c r="STB15" s="64"/>
      <c r="STC15" s="64"/>
      <c r="STD15" s="64"/>
      <c r="STE15" s="64"/>
      <c r="STF15" s="64"/>
      <c r="STG15" s="64"/>
      <c r="STH15" s="64"/>
      <c r="STI15" s="64"/>
      <c r="STJ15" s="64"/>
      <c r="STK15" s="64"/>
      <c r="STL15" s="64"/>
      <c r="STM15" s="64"/>
      <c r="STN15" s="64"/>
      <c r="STO15" s="64"/>
      <c r="STP15" s="64"/>
      <c r="STQ15" s="64"/>
      <c r="STR15" s="64"/>
      <c r="STS15" s="64"/>
      <c r="STT15" s="64"/>
      <c r="STU15" s="64"/>
      <c r="STV15" s="64"/>
      <c r="STW15" s="64"/>
      <c r="STX15" s="64"/>
      <c r="STY15" s="64"/>
      <c r="STZ15" s="64"/>
      <c r="SUA15" s="64"/>
      <c r="SUB15" s="64"/>
      <c r="SUC15" s="64"/>
      <c r="SUD15" s="64"/>
      <c r="SUE15" s="64"/>
      <c r="SUF15" s="64"/>
      <c r="SUG15" s="64"/>
      <c r="SUH15" s="64"/>
      <c r="SUI15" s="64"/>
      <c r="SUJ15" s="64"/>
      <c r="SUK15" s="64"/>
      <c r="SUL15" s="64"/>
      <c r="SUM15" s="64"/>
      <c r="SUN15" s="64"/>
      <c r="SUO15" s="64"/>
      <c r="SUP15" s="64"/>
      <c r="SUQ15" s="64"/>
      <c r="SUR15" s="64"/>
      <c r="SUS15" s="64"/>
      <c r="SUT15" s="64"/>
      <c r="SUU15" s="64"/>
      <c r="SUV15" s="64"/>
      <c r="SUW15" s="64"/>
      <c r="SUX15" s="64"/>
      <c r="SUY15" s="64"/>
      <c r="SUZ15" s="64"/>
      <c r="SVA15" s="64"/>
      <c r="SVB15" s="64"/>
      <c r="SVC15" s="64"/>
      <c r="SVD15" s="64"/>
      <c r="SVE15" s="64"/>
      <c r="SVF15" s="64"/>
      <c r="SVG15" s="64"/>
      <c r="SVH15" s="64"/>
      <c r="SVI15" s="64"/>
      <c r="SVJ15" s="64"/>
      <c r="SVK15" s="64"/>
      <c r="SVL15" s="64"/>
      <c r="SVM15" s="64"/>
      <c r="SVN15" s="64"/>
      <c r="SVO15" s="64"/>
      <c r="SVP15" s="64"/>
      <c r="SVQ15" s="64"/>
      <c r="SVR15" s="64"/>
      <c r="SVS15" s="64"/>
      <c r="SVT15" s="64"/>
      <c r="SVU15" s="64"/>
      <c r="SVV15" s="64"/>
      <c r="SVW15" s="64"/>
      <c r="SVX15" s="64"/>
      <c r="SVY15" s="64"/>
      <c r="SVZ15" s="64"/>
      <c r="SWA15" s="64"/>
      <c r="SWB15" s="64"/>
      <c r="SWC15" s="64"/>
      <c r="SWD15" s="64"/>
      <c r="SWE15" s="64"/>
      <c r="SWF15" s="64"/>
      <c r="SWG15" s="64"/>
      <c r="SWH15" s="64"/>
      <c r="SWI15" s="64"/>
      <c r="SWJ15" s="64"/>
      <c r="SWK15" s="64"/>
      <c r="SWL15" s="64"/>
      <c r="SWM15" s="64"/>
      <c r="SWN15" s="64"/>
      <c r="SWO15" s="64"/>
      <c r="SWP15" s="64"/>
      <c r="SWQ15" s="64"/>
      <c r="SWR15" s="64"/>
      <c r="SWS15" s="64"/>
      <c r="SWT15" s="64"/>
      <c r="SWU15" s="64"/>
      <c r="SWV15" s="64"/>
      <c r="SWW15" s="64"/>
      <c r="SWX15" s="64"/>
      <c r="SWY15" s="64"/>
      <c r="SWZ15" s="64"/>
      <c r="SXA15" s="64"/>
      <c r="SXB15" s="64"/>
      <c r="SXC15" s="64"/>
      <c r="SXD15" s="64"/>
      <c r="SXE15" s="64"/>
      <c r="SXF15" s="64"/>
      <c r="SXG15" s="64"/>
      <c r="SXH15" s="64"/>
      <c r="SXI15" s="64"/>
      <c r="SXJ15" s="64"/>
      <c r="SXK15" s="64"/>
      <c r="SXL15" s="64"/>
      <c r="SXM15" s="64"/>
      <c r="SXN15" s="64"/>
      <c r="SXO15" s="64"/>
      <c r="SXP15" s="64"/>
      <c r="SXQ15" s="64"/>
      <c r="SXR15" s="64"/>
      <c r="SXS15" s="64"/>
      <c r="SXT15" s="64"/>
      <c r="SXU15" s="64"/>
      <c r="SXV15" s="64"/>
      <c r="SXW15" s="64"/>
      <c r="SXX15" s="64"/>
      <c r="SXY15" s="64"/>
      <c r="SXZ15" s="64"/>
      <c r="SYA15" s="64"/>
      <c r="SYB15" s="64"/>
      <c r="SYI15" s="64"/>
      <c r="SYJ15" s="64"/>
      <c r="SYK15" s="64"/>
      <c r="SYL15" s="64"/>
      <c r="SYM15" s="64"/>
      <c r="SYN15" s="64"/>
      <c r="SYO15" s="64"/>
      <c r="SYP15" s="64"/>
      <c r="SYQ15" s="64"/>
      <c r="SYR15" s="64"/>
      <c r="SYS15" s="64"/>
      <c r="SYT15" s="64"/>
      <c r="SYU15" s="64"/>
      <c r="SYV15" s="64"/>
      <c r="SYW15" s="64"/>
      <c r="SYX15" s="64"/>
      <c r="SYY15" s="64"/>
      <c r="SYZ15" s="64"/>
      <c r="SZA15" s="64"/>
      <c r="SZB15" s="64"/>
      <c r="SZC15" s="64"/>
      <c r="SZD15" s="64"/>
      <c r="SZE15" s="64"/>
      <c r="SZF15" s="64"/>
      <c r="SZG15" s="64"/>
      <c r="SZH15" s="64"/>
      <c r="SZI15" s="64"/>
      <c r="SZJ15" s="64"/>
      <c r="SZK15" s="64"/>
      <c r="SZL15" s="64"/>
      <c r="SZM15" s="64"/>
      <c r="SZN15" s="64"/>
      <c r="SZO15" s="64"/>
      <c r="SZP15" s="64"/>
      <c r="SZQ15" s="64"/>
      <c r="SZR15" s="64"/>
      <c r="SZS15" s="64"/>
      <c r="SZT15" s="64"/>
      <c r="SZU15" s="64"/>
      <c r="SZV15" s="64"/>
      <c r="SZW15" s="64"/>
      <c r="SZX15" s="64"/>
      <c r="SZY15" s="64"/>
      <c r="SZZ15" s="64"/>
      <c r="TAA15" s="64"/>
      <c r="TAB15" s="64"/>
      <c r="TAC15" s="64"/>
      <c r="TAD15" s="64"/>
      <c r="TAE15" s="64"/>
      <c r="TAF15" s="64"/>
      <c r="TAG15" s="64"/>
      <c r="TAH15" s="64"/>
      <c r="TAI15" s="64"/>
      <c r="TAJ15" s="64"/>
      <c r="TAK15" s="64"/>
      <c r="TAL15" s="64"/>
      <c r="TAM15" s="64"/>
      <c r="TAN15" s="64"/>
      <c r="TAO15" s="64"/>
      <c r="TAP15" s="64"/>
      <c r="TAQ15" s="64"/>
      <c r="TAR15" s="64"/>
      <c r="TAS15" s="64"/>
      <c r="TAT15" s="64"/>
      <c r="TAU15" s="64"/>
      <c r="TAV15" s="64"/>
      <c r="TAW15" s="64"/>
      <c r="TAX15" s="64"/>
      <c r="TAY15" s="64"/>
      <c r="TAZ15" s="64"/>
      <c r="TBA15" s="64"/>
      <c r="TBB15" s="64"/>
      <c r="TBC15" s="64"/>
      <c r="TBD15" s="64"/>
      <c r="TBE15" s="64"/>
      <c r="TBF15" s="64"/>
      <c r="TBG15" s="64"/>
      <c r="TBH15" s="64"/>
      <c r="TBI15" s="64"/>
      <c r="TBJ15" s="64"/>
      <c r="TBK15" s="64"/>
      <c r="TBL15" s="64"/>
      <c r="TBM15" s="64"/>
      <c r="TBN15" s="64"/>
      <c r="TBO15" s="64"/>
      <c r="TBP15" s="64"/>
      <c r="TBQ15" s="64"/>
      <c r="TBR15" s="64"/>
      <c r="TBS15" s="64"/>
      <c r="TBT15" s="64"/>
      <c r="TBU15" s="64"/>
      <c r="TBV15" s="64"/>
      <c r="TBW15" s="64"/>
      <c r="TBX15" s="64"/>
      <c r="TBY15" s="64"/>
      <c r="TBZ15" s="64"/>
      <c r="TCA15" s="64"/>
      <c r="TCB15" s="64"/>
      <c r="TCC15" s="64"/>
      <c r="TCD15" s="64"/>
      <c r="TCE15" s="64"/>
      <c r="TCF15" s="64"/>
      <c r="TCG15" s="64"/>
      <c r="TCH15" s="64"/>
      <c r="TCI15" s="64"/>
      <c r="TCJ15" s="64"/>
      <c r="TCK15" s="64"/>
      <c r="TCL15" s="64"/>
      <c r="TCM15" s="64"/>
      <c r="TCN15" s="64"/>
      <c r="TCO15" s="64"/>
      <c r="TCP15" s="64"/>
      <c r="TCQ15" s="64"/>
      <c r="TCR15" s="64"/>
      <c r="TCS15" s="64"/>
      <c r="TCT15" s="64"/>
      <c r="TCU15" s="64"/>
      <c r="TCV15" s="64"/>
      <c r="TCW15" s="64"/>
      <c r="TCX15" s="64"/>
      <c r="TCY15" s="64"/>
      <c r="TCZ15" s="64"/>
      <c r="TDA15" s="64"/>
      <c r="TDB15" s="64"/>
      <c r="TDC15" s="64"/>
      <c r="TDD15" s="64"/>
      <c r="TDE15" s="64"/>
      <c r="TDF15" s="64"/>
      <c r="TDG15" s="64"/>
      <c r="TDH15" s="64"/>
      <c r="TDI15" s="64"/>
      <c r="TDJ15" s="64"/>
      <c r="TDK15" s="64"/>
      <c r="TDL15" s="64"/>
      <c r="TDM15" s="64"/>
      <c r="TDN15" s="64"/>
      <c r="TDO15" s="64"/>
      <c r="TDP15" s="64"/>
      <c r="TDQ15" s="64"/>
      <c r="TDR15" s="64"/>
      <c r="TDS15" s="64"/>
      <c r="TDT15" s="64"/>
      <c r="TDU15" s="64"/>
      <c r="TDV15" s="64"/>
      <c r="TDW15" s="64"/>
      <c r="TDX15" s="64"/>
      <c r="TDY15" s="64"/>
      <c r="TDZ15" s="64"/>
      <c r="TEA15" s="64"/>
      <c r="TEB15" s="64"/>
      <c r="TEC15" s="64"/>
      <c r="TED15" s="64"/>
      <c r="TEE15" s="64"/>
      <c r="TEF15" s="64"/>
      <c r="TEG15" s="64"/>
      <c r="TEH15" s="64"/>
      <c r="TEI15" s="64"/>
      <c r="TEJ15" s="64"/>
      <c r="TEK15" s="64"/>
      <c r="TEL15" s="64"/>
      <c r="TEM15" s="64"/>
      <c r="TEN15" s="64"/>
      <c r="TEO15" s="64"/>
      <c r="TEP15" s="64"/>
      <c r="TEQ15" s="64"/>
      <c r="TER15" s="64"/>
      <c r="TES15" s="64"/>
      <c r="TET15" s="64"/>
      <c r="TEU15" s="64"/>
      <c r="TEV15" s="64"/>
      <c r="TEW15" s="64"/>
      <c r="TEX15" s="64"/>
      <c r="TEY15" s="64"/>
      <c r="TEZ15" s="64"/>
      <c r="TFA15" s="64"/>
      <c r="TFB15" s="64"/>
      <c r="TFC15" s="64"/>
      <c r="TFD15" s="64"/>
      <c r="TFE15" s="64"/>
      <c r="TFF15" s="64"/>
      <c r="TFG15" s="64"/>
      <c r="TFH15" s="64"/>
      <c r="TFI15" s="64"/>
      <c r="TFJ15" s="64"/>
      <c r="TFK15" s="64"/>
      <c r="TFL15" s="64"/>
      <c r="TFM15" s="64"/>
      <c r="TFN15" s="64"/>
      <c r="TFO15" s="64"/>
      <c r="TFP15" s="64"/>
      <c r="TFQ15" s="64"/>
      <c r="TFR15" s="64"/>
      <c r="TFS15" s="64"/>
      <c r="TFT15" s="64"/>
      <c r="TFU15" s="64"/>
      <c r="TFV15" s="64"/>
      <c r="TFW15" s="64"/>
      <c r="TFX15" s="64"/>
      <c r="TFY15" s="64"/>
      <c r="TFZ15" s="64"/>
      <c r="TGA15" s="64"/>
      <c r="TGB15" s="64"/>
      <c r="TGC15" s="64"/>
      <c r="TGD15" s="64"/>
      <c r="TGE15" s="64"/>
      <c r="TGF15" s="64"/>
      <c r="TGG15" s="64"/>
      <c r="TGH15" s="64"/>
      <c r="TGI15" s="64"/>
      <c r="TGJ15" s="64"/>
      <c r="TGK15" s="64"/>
      <c r="TGL15" s="64"/>
      <c r="TGM15" s="64"/>
      <c r="TGN15" s="64"/>
      <c r="TGO15" s="64"/>
      <c r="TGP15" s="64"/>
      <c r="TGQ15" s="64"/>
      <c r="TGR15" s="64"/>
      <c r="TGS15" s="64"/>
      <c r="TGT15" s="64"/>
      <c r="TGU15" s="64"/>
      <c r="TGV15" s="64"/>
      <c r="TGW15" s="64"/>
      <c r="TGX15" s="64"/>
      <c r="TGY15" s="64"/>
      <c r="TGZ15" s="64"/>
      <c r="THA15" s="64"/>
      <c r="THB15" s="64"/>
      <c r="THC15" s="64"/>
      <c r="THD15" s="64"/>
      <c r="THE15" s="64"/>
      <c r="THF15" s="64"/>
      <c r="THG15" s="64"/>
      <c r="THH15" s="64"/>
      <c r="THI15" s="64"/>
      <c r="THJ15" s="64"/>
      <c r="THK15" s="64"/>
      <c r="THL15" s="64"/>
      <c r="THM15" s="64"/>
      <c r="THN15" s="64"/>
      <c r="THO15" s="64"/>
      <c r="THP15" s="64"/>
      <c r="THQ15" s="64"/>
      <c r="THR15" s="64"/>
      <c r="THS15" s="64"/>
      <c r="THT15" s="64"/>
      <c r="THU15" s="64"/>
      <c r="THV15" s="64"/>
      <c r="THW15" s="64"/>
      <c r="THX15" s="64"/>
      <c r="TIE15" s="64"/>
      <c r="TIF15" s="64"/>
      <c r="TIG15" s="64"/>
      <c r="TIH15" s="64"/>
      <c r="TII15" s="64"/>
      <c r="TIJ15" s="64"/>
      <c r="TIK15" s="64"/>
      <c r="TIL15" s="64"/>
      <c r="TIM15" s="64"/>
      <c r="TIN15" s="64"/>
      <c r="TIO15" s="64"/>
      <c r="TIP15" s="64"/>
      <c r="TIQ15" s="64"/>
      <c r="TIR15" s="64"/>
      <c r="TIS15" s="64"/>
      <c r="TIT15" s="64"/>
      <c r="TIU15" s="64"/>
      <c r="TIV15" s="64"/>
      <c r="TIW15" s="64"/>
      <c r="TIX15" s="64"/>
      <c r="TIY15" s="64"/>
      <c r="TIZ15" s="64"/>
      <c r="TJA15" s="64"/>
      <c r="TJB15" s="64"/>
      <c r="TJC15" s="64"/>
      <c r="TJD15" s="64"/>
      <c r="TJE15" s="64"/>
      <c r="TJF15" s="64"/>
      <c r="TJG15" s="64"/>
      <c r="TJH15" s="64"/>
      <c r="TJI15" s="64"/>
      <c r="TJJ15" s="64"/>
      <c r="TJK15" s="64"/>
      <c r="TJL15" s="64"/>
      <c r="TJM15" s="64"/>
      <c r="TJN15" s="64"/>
      <c r="TJO15" s="64"/>
      <c r="TJP15" s="64"/>
      <c r="TJQ15" s="64"/>
      <c r="TJR15" s="64"/>
      <c r="TJS15" s="64"/>
      <c r="TJT15" s="64"/>
      <c r="TJU15" s="64"/>
      <c r="TJV15" s="64"/>
      <c r="TJW15" s="64"/>
      <c r="TJX15" s="64"/>
      <c r="TJY15" s="64"/>
      <c r="TJZ15" s="64"/>
      <c r="TKA15" s="64"/>
      <c r="TKB15" s="64"/>
      <c r="TKC15" s="64"/>
      <c r="TKD15" s="64"/>
      <c r="TKE15" s="64"/>
      <c r="TKF15" s="64"/>
      <c r="TKG15" s="64"/>
      <c r="TKH15" s="64"/>
      <c r="TKI15" s="64"/>
      <c r="TKJ15" s="64"/>
      <c r="TKK15" s="64"/>
      <c r="TKL15" s="64"/>
      <c r="TKM15" s="64"/>
      <c r="TKN15" s="64"/>
      <c r="TKO15" s="64"/>
      <c r="TKP15" s="64"/>
      <c r="TKQ15" s="64"/>
      <c r="TKR15" s="64"/>
      <c r="TKS15" s="64"/>
      <c r="TKT15" s="64"/>
      <c r="TKU15" s="64"/>
      <c r="TKV15" s="64"/>
      <c r="TKW15" s="64"/>
      <c r="TKX15" s="64"/>
      <c r="TKY15" s="64"/>
      <c r="TKZ15" s="64"/>
      <c r="TLA15" s="64"/>
      <c r="TLB15" s="64"/>
      <c r="TLC15" s="64"/>
      <c r="TLD15" s="64"/>
      <c r="TLE15" s="64"/>
      <c r="TLF15" s="64"/>
      <c r="TLG15" s="64"/>
      <c r="TLH15" s="64"/>
      <c r="TLI15" s="64"/>
      <c r="TLJ15" s="64"/>
      <c r="TLK15" s="64"/>
      <c r="TLL15" s="64"/>
      <c r="TLM15" s="64"/>
      <c r="TLN15" s="64"/>
      <c r="TLO15" s="64"/>
      <c r="TLP15" s="64"/>
      <c r="TLQ15" s="64"/>
      <c r="TLR15" s="64"/>
      <c r="TLS15" s="64"/>
      <c r="TLT15" s="64"/>
      <c r="TLU15" s="64"/>
      <c r="TLV15" s="64"/>
      <c r="TLW15" s="64"/>
      <c r="TLX15" s="64"/>
      <c r="TLY15" s="64"/>
      <c r="TLZ15" s="64"/>
      <c r="TMA15" s="64"/>
      <c r="TMB15" s="64"/>
      <c r="TMC15" s="64"/>
      <c r="TMD15" s="64"/>
      <c r="TME15" s="64"/>
      <c r="TMF15" s="64"/>
      <c r="TMG15" s="64"/>
      <c r="TMH15" s="64"/>
      <c r="TMI15" s="64"/>
      <c r="TMJ15" s="64"/>
      <c r="TMK15" s="64"/>
      <c r="TML15" s="64"/>
      <c r="TMM15" s="64"/>
      <c r="TMN15" s="64"/>
      <c r="TMO15" s="64"/>
      <c r="TMP15" s="64"/>
      <c r="TMQ15" s="64"/>
      <c r="TMR15" s="64"/>
      <c r="TMS15" s="64"/>
      <c r="TMT15" s="64"/>
      <c r="TMU15" s="64"/>
      <c r="TMV15" s="64"/>
      <c r="TMW15" s="64"/>
      <c r="TMX15" s="64"/>
      <c r="TMY15" s="64"/>
      <c r="TMZ15" s="64"/>
      <c r="TNA15" s="64"/>
      <c r="TNB15" s="64"/>
      <c r="TNC15" s="64"/>
      <c r="TND15" s="64"/>
      <c r="TNE15" s="64"/>
      <c r="TNF15" s="64"/>
      <c r="TNG15" s="64"/>
      <c r="TNH15" s="64"/>
      <c r="TNI15" s="64"/>
      <c r="TNJ15" s="64"/>
      <c r="TNK15" s="64"/>
      <c r="TNL15" s="64"/>
      <c r="TNM15" s="64"/>
      <c r="TNN15" s="64"/>
      <c r="TNO15" s="64"/>
      <c r="TNP15" s="64"/>
      <c r="TNQ15" s="64"/>
      <c r="TNR15" s="64"/>
      <c r="TNS15" s="64"/>
      <c r="TNT15" s="64"/>
      <c r="TNU15" s="64"/>
      <c r="TNV15" s="64"/>
      <c r="TNW15" s="64"/>
      <c r="TNX15" s="64"/>
      <c r="TNY15" s="64"/>
      <c r="TNZ15" s="64"/>
      <c r="TOA15" s="64"/>
      <c r="TOB15" s="64"/>
      <c r="TOC15" s="64"/>
      <c r="TOD15" s="64"/>
      <c r="TOE15" s="64"/>
      <c r="TOF15" s="64"/>
      <c r="TOG15" s="64"/>
      <c r="TOH15" s="64"/>
      <c r="TOI15" s="64"/>
      <c r="TOJ15" s="64"/>
      <c r="TOK15" s="64"/>
      <c r="TOL15" s="64"/>
      <c r="TOM15" s="64"/>
      <c r="TON15" s="64"/>
      <c r="TOO15" s="64"/>
      <c r="TOP15" s="64"/>
      <c r="TOQ15" s="64"/>
      <c r="TOR15" s="64"/>
      <c r="TOS15" s="64"/>
      <c r="TOT15" s="64"/>
      <c r="TOU15" s="64"/>
      <c r="TOV15" s="64"/>
      <c r="TOW15" s="64"/>
      <c r="TOX15" s="64"/>
      <c r="TOY15" s="64"/>
      <c r="TOZ15" s="64"/>
      <c r="TPA15" s="64"/>
      <c r="TPB15" s="64"/>
      <c r="TPC15" s="64"/>
      <c r="TPD15" s="64"/>
      <c r="TPE15" s="64"/>
      <c r="TPF15" s="64"/>
      <c r="TPG15" s="64"/>
      <c r="TPH15" s="64"/>
      <c r="TPI15" s="64"/>
      <c r="TPJ15" s="64"/>
      <c r="TPK15" s="64"/>
      <c r="TPL15" s="64"/>
      <c r="TPM15" s="64"/>
      <c r="TPN15" s="64"/>
      <c r="TPO15" s="64"/>
      <c r="TPP15" s="64"/>
      <c r="TPQ15" s="64"/>
      <c r="TPR15" s="64"/>
      <c r="TPS15" s="64"/>
      <c r="TPT15" s="64"/>
      <c r="TPU15" s="64"/>
      <c r="TPV15" s="64"/>
      <c r="TPW15" s="64"/>
      <c r="TPX15" s="64"/>
      <c r="TPY15" s="64"/>
      <c r="TPZ15" s="64"/>
      <c r="TQA15" s="64"/>
      <c r="TQB15" s="64"/>
      <c r="TQC15" s="64"/>
      <c r="TQD15" s="64"/>
      <c r="TQE15" s="64"/>
      <c r="TQF15" s="64"/>
      <c r="TQG15" s="64"/>
      <c r="TQH15" s="64"/>
      <c r="TQI15" s="64"/>
      <c r="TQJ15" s="64"/>
      <c r="TQK15" s="64"/>
      <c r="TQL15" s="64"/>
      <c r="TQM15" s="64"/>
      <c r="TQN15" s="64"/>
      <c r="TQO15" s="64"/>
      <c r="TQP15" s="64"/>
      <c r="TQQ15" s="64"/>
      <c r="TQR15" s="64"/>
      <c r="TQS15" s="64"/>
      <c r="TQT15" s="64"/>
      <c r="TQU15" s="64"/>
      <c r="TQV15" s="64"/>
      <c r="TQW15" s="64"/>
      <c r="TQX15" s="64"/>
      <c r="TQY15" s="64"/>
      <c r="TQZ15" s="64"/>
      <c r="TRA15" s="64"/>
      <c r="TRB15" s="64"/>
      <c r="TRC15" s="64"/>
      <c r="TRD15" s="64"/>
      <c r="TRE15" s="64"/>
      <c r="TRF15" s="64"/>
      <c r="TRG15" s="64"/>
      <c r="TRH15" s="64"/>
      <c r="TRI15" s="64"/>
      <c r="TRJ15" s="64"/>
      <c r="TRK15" s="64"/>
      <c r="TRL15" s="64"/>
      <c r="TRM15" s="64"/>
      <c r="TRN15" s="64"/>
      <c r="TRO15" s="64"/>
      <c r="TRP15" s="64"/>
      <c r="TRQ15" s="64"/>
      <c r="TRR15" s="64"/>
      <c r="TRS15" s="64"/>
      <c r="TRT15" s="64"/>
      <c r="TSA15" s="64"/>
      <c r="TSB15" s="64"/>
      <c r="TSC15" s="64"/>
      <c r="TSD15" s="64"/>
      <c r="TSE15" s="64"/>
      <c r="TSF15" s="64"/>
      <c r="TSG15" s="64"/>
      <c r="TSH15" s="64"/>
      <c r="TSI15" s="64"/>
      <c r="TSJ15" s="64"/>
      <c r="TSK15" s="64"/>
      <c r="TSL15" s="64"/>
      <c r="TSM15" s="64"/>
      <c r="TSN15" s="64"/>
      <c r="TSO15" s="64"/>
      <c r="TSP15" s="64"/>
      <c r="TSQ15" s="64"/>
      <c r="TSR15" s="64"/>
      <c r="TSS15" s="64"/>
      <c r="TST15" s="64"/>
      <c r="TSU15" s="64"/>
      <c r="TSV15" s="64"/>
      <c r="TSW15" s="64"/>
      <c r="TSX15" s="64"/>
      <c r="TSY15" s="64"/>
      <c r="TSZ15" s="64"/>
      <c r="TTA15" s="64"/>
      <c r="TTB15" s="64"/>
      <c r="TTC15" s="64"/>
      <c r="TTD15" s="64"/>
      <c r="TTE15" s="64"/>
      <c r="TTF15" s="64"/>
      <c r="TTG15" s="64"/>
      <c r="TTH15" s="64"/>
      <c r="TTI15" s="64"/>
      <c r="TTJ15" s="64"/>
      <c r="TTK15" s="64"/>
      <c r="TTL15" s="64"/>
      <c r="TTM15" s="64"/>
      <c r="TTN15" s="64"/>
      <c r="TTO15" s="64"/>
      <c r="TTP15" s="64"/>
      <c r="TTQ15" s="64"/>
      <c r="TTR15" s="64"/>
      <c r="TTS15" s="64"/>
      <c r="TTT15" s="64"/>
      <c r="TTU15" s="64"/>
      <c r="TTV15" s="64"/>
      <c r="TTW15" s="64"/>
      <c r="TTX15" s="64"/>
      <c r="TTY15" s="64"/>
      <c r="TTZ15" s="64"/>
      <c r="TUA15" s="64"/>
      <c r="TUB15" s="64"/>
      <c r="TUC15" s="64"/>
      <c r="TUD15" s="64"/>
      <c r="TUE15" s="64"/>
      <c r="TUF15" s="64"/>
      <c r="TUG15" s="64"/>
      <c r="TUH15" s="64"/>
      <c r="TUI15" s="64"/>
      <c r="TUJ15" s="64"/>
      <c r="TUK15" s="64"/>
      <c r="TUL15" s="64"/>
      <c r="TUM15" s="64"/>
      <c r="TUN15" s="64"/>
      <c r="TUO15" s="64"/>
      <c r="TUP15" s="64"/>
      <c r="TUQ15" s="64"/>
      <c r="TUR15" s="64"/>
      <c r="TUS15" s="64"/>
      <c r="TUT15" s="64"/>
      <c r="TUU15" s="64"/>
      <c r="TUV15" s="64"/>
      <c r="TUW15" s="64"/>
      <c r="TUX15" s="64"/>
      <c r="TUY15" s="64"/>
      <c r="TUZ15" s="64"/>
      <c r="TVA15" s="64"/>
      <c r="TVB15" s="64"/>
      <c r="TVC15" s="64"/>
      <c r="TVD15" s="64"/>
      <c r="TVE15" s="64"/>
      <c r="TVF15" s="64"/>
      <c r="TVG15" s="64"/>
      <c r="TVH15" s="64"/>
      <c r="TVI15" s="64"/>
      <c r="TVJ15" s="64"/>
      <c r="TVK15" s="64"/>
      <c r="TVL15" s="64"/>
      <c r="TVM15" s="64"/>
      <c r="TVN15" s="64"/>
      <c r="TVO15" s="64"/>
      <c r="TVP15" s="64"/>
      <c r="TVQ15" s="64"/>
      <c r="TVR15" s="64"/>
      <c r="TVS15" s="64"/>
      <c r="TVT15" s="64"/>
      <c r="TVU15" s="64"/>
      <c r="TVV15" s="64"/>
      <c r="TVW15" s="64"/>
      <c r="TVX15" s="64"/>
      <c r="TVY15" s="64"/>
      <c r="TVZ15" s="64"/>
      <c r="TWA15" s="64"/>
      <c r="TWB15" s="64"/>
      <c r="TWC15" s="64"/>
      <c r="TWD15" s="64"/>
      <c r="TWE15" s="64"/>
      <c r="TWF15" s="64"/>
      <c r="TWG15" s="64"/>
      <c r="TWH15" s="64"/>
      <c r="TWI15" s="64"/>
      <c r="TWJ15" s="64"/>
      <c r="TWK15" s="64"/>
      <c r="TWL15" s="64"/>
      <c r="TWM15" s="64"/>
      <c r="TWN15" s="64"/>
      <c r="TWO15" s="64"/>
      <c r="TWP15" s="64"/>
      <c r="TWQ15" s="64"/>
      <c r="TWR15" s="64"/>
      <c r="TWS15" s="64"/>
      <c r="TWT15" s="64"/>
      <c r="TWU15" s="64"/>
      <c r="TWV15" s="64"/>
      <c r="TWW15" s="64"/>
      <c r="TWX15" s="64"/>
      <c r="TWY15" s="64"/>
      <c r="TWZ15" s="64"/>
      <c r="TXA15" s="64"/>
      <c r="TXB15" s="64"/>
      <c r="TXC15" s="64"/>
      <c r="TXD15" s="64"/>
      <c r="TXE15" s="64"/>
      <c r="TXF15" s="64"/>
      <c r="TXG15" s="64"/>
      <c r="TXH15" s="64"/>
      <c r="TXI15" s="64"/>
      <c r="TXJ15" s="64"/>
      <c r="TXK15" s="64"/>
      <c r="TXL15" s="64"/>
      <c r="TXM15" s="64"/>
      <c r="TXN15" s="64"/>
      <c r="TXO15" s="64"/>
      <c r="TXP15" s="64"/>
      <c r="TXQ15" s="64"/>
      <c r="TXR15" s="64"/>
      <c r="TXS15" s="64"/>
      <c r="TXT15" s="64"/>
      <c r="TXU15" s="64"/>
      <c r="TXV15" s="64"/>
      <c r="TXW15" s="64"/>
      <c r="TXX15" s="64"/>
      <c r="TXY15" s="64"/>
      <c r="TXZ15" s="64"/>
      <c r="TYA15" s="64"/>
      <c r="TYB15" s="64"/>
      <c r="TYC15" s="64"/>
      <c r="TYD15" s="64"/>
      <c r="TYE15" s="64"/>
      <c r="TYF15" s="64"/>
      <c r="TYG15" s="64"/>
      <c r="TYH15" s="64"/>
      <c r="TYI15" s="64"/>
      <c r="TYJ15" s="64"/>
      <c r="TYK15" s="64"/>
      <c r="TYL15" s="64"/>
      <c r="TYM15" s="64"/>
      <c r="TYN15" s="64"/>
      <c r="TYO15" s="64"/>
      <c r="TYP15" s="64"/>
      <c r="TYQ15" s="64"/>
      <c r="TYR15" s="64"/>
      <c r="TYS15" s="64"/>
      <c r="TYT15" s="64"/>
      <c r="TYU15" s="64"/>
      <c r="TYV15" s="64"/>
      <c r="TYW15" s="64"/>
      <c r="TYX15" s="64"/>
      <c r="TYY15" s="64"/>
      <c r="TYZ15" s="64"/>
      <c r="TZA15" s="64"/>
      <c r="TZB15" s="64"/>
      <c r="TZC15" s="64"/>
      <c r="TZD15" s="64"/>
      <c r="TZE15" s="64"/>
      <c r="TZF15" s="64"/>
      <c r="TZG15" s="64"/>
      <c r="TZH15" s="64"/>
      <c r="TZI15" s="64"/>
      <c r="TZJ15" s="64"/>
      <c r="TZK15" s="64"/>
      <c r="TZL15" s="64"/>
      <c r="TZM15" s="64"/>
      <c r="TZN15" s="64"/>
      <c r="TZO15" s="64"/>
      <c r="TZP15" s="64"/>
      <c r="TZQ15" s="64"/>
      <c r="TZR15" s="64"/>
      <c r="TZS15" s="64"/>
      <c r="TZT15" s="64"/>
      <c r="TZU15" s="64"/>
      <c r="TZV15" s="64"/>
      <c r="TZW15" s="64"/>
      <c r="TZX15" s="64"/>
      <c r="TZY15" s="64"/>
      <c r="TZZ15" s="64"/>
      <c r="UAA15" s="64"/>
      <c r="UAB15" s="64"/>
      <c r="UAC15" s="64"/>
      <c r="UAD15" s="64"/>
      <c r="UAE15" s="64"/>
      <c r="UAF15" s="64"/>
      <c r="UAG15" s="64"/>
      <c r="UAH15" s="64"/>
      <c r="UAI15" s="64"/>
      <c r="UAJ15" s="64"/>
      <c r="UAK15" s="64"/>
      <c r="UAL15" s="64"/>
      <c r="UAM15" s="64"/>
      <c r="UAN15" s="64"/>
      <c r="UAO15" s="64"/>
      <c r="UAP15" s="64"/>
      <c r="UAQ15" s="64"/>
      <c r="UAR15" s="64"/>
      <c r="UAS15" s="64"/>
      <c r="UAT15" s="64"/>
      <c r="UAU15" s="64"/>
      <c r="UAV15" s="64"/>
      <c r="UAW15" s="64"/>
      <c r="UAX15" s="64"/>
      <c r="UAY15" s="64"/>
      <c r="UAZ15" s="64"/>
      <c r="UBA15" s="64"/>
      <c r="UBB15" s="64"/>
      <c r="UBC15" s="64"/>
      <c r="UBD15" s="64"/>
      <c r="UBE15" s="64"/>
      <c r="UBF15" s="64"/>
      <c r="UBG15" s="64"/>
      <c r="UBH15" s="64"/>
      <c r="UBI15" s="64"/>
      <c r="UBJ15" s="64"/>
      <c r="UBK15" s="64"/>
      <c r="UBL15" s="64"/>
      <c r="UBM15" s="64"/>
      <c r="UBN15" s="64"/>
      <c r="UBO15" s="64"/>
      <c r="UBP15" s="64"/>
      <c r="UBW15" s="64"/>
      <c r="UBX15" s="64"/>
      <c r="UBY15" s="64"/>
      <c r="UBZ15" s="64"/>
      <c r="UCA15" s="64"/>
      <c r="UCB15" s="64"/>
      <c r="UCC15" s="64"/>
      <c r="UCD15" s="64"/>
      <c r="UCE15" s="64"/>
      <c r="UCF15" s="64"/>
      <c r="UCG15" s="64"/>
      <c r="UCH15" s="64"/>
      <c r="UCI15" s="64"/>
      <c r="UCJ15" s="64"/>
      <c r="UCK15" s="64"/>
      <c r="UCL15" s="64"/>
      <c r="UCM15" s="64"/>
      <c r="UCN15" s="64"/>
      <c r="UCO15" s="64"/>
      <c r="UCP15" s="64"/>
      <c r="UCQ15" s="64"/>
      <c r="UCR15" s="64"/>
      <c r="UCS15" s="64"/>
      <c r="UCT15" s="64"/>
      <c r="UCU15" s="64"/>
      <c r="UCV15" s="64"/>
      <c r="UCW15" s="64"/>
      <c r="UCX15" s="64"/>
      <c r="UCY15" s="64"/>
      <c r="UCZ15" s="64"/>
      <c r="UDA15" s="64"/>
      <c r="UDB15" s="64"/>
      <c r="UDC15" s="64"/>
      <c r="UDD15" s="64"/>
      <c r="UDE15" s="64"/>
      <c r="UDF15" s="64"/>
      <c r="UDG15" s="64"/>
      <c r="UDH15" s="64"/>
      <c r="UDI15" s="64"/>
      <c r="UDJ15" s="64"/>
      <c r="UDK15" s="64"/>
      <c r="UDL15" s="64"/>
      <c r="UDM15" s="64"/>
      <c r="UDN15" s="64"/>
      <c r="UDO15" s="64"/>
      <c r="UDP15" s="64"/>
      <c r="UDQ15" s="64"/>
      <c r="UDR15" s="64"/>
      <c r="UDS15" s="64"/>
      <c r="UDT15" s="64"/>
      <c r="UDU15" s="64"/>
      <c r="UDV15" s="64"/>
      <c r="UDW15" s="64"/>
      <c r="UDX15" s="64"/>
      <c r="UDY15" s="64"/>
      <c r="UDZ15" s="64"/>
      <c r="UEA15" s="64"/>
      <c r="UEB15" s="64"/>
      <c r="UEC15" s="64"/>
      <c r="UED15" s="64"/>
      <c r="UEE15" s="64"/>
      <c r="UEF15" s="64"/>
      <c r="UEG15" s="64"/>
      <c r="UEH15" s="64"/>
      <c r="UEI15" s="64"/>
      <c r="UEJ15" s="64"/>
      <c r="UEK15" s="64"/>
      <c r="UEL15" s="64"/>
      <c r="UEM15" s="64"/>
      <c r="UEN15" s="64"/>
      <c r="UEO15" s="64"/>
      <c r="UEP15" s="64"/>
      <c r="UEQ15" s="64"/>
      <c r="UER15" s="64"/>
      <c r="UES15" s="64"/>
      <c r="UET15" s="64"/>
      <c r="UEU15" s="64"/>
      <c r="UEV15" s="64"/>
      <c r="UEW15" s="64"/>
      <c r="UEX15" s="64"/>
      <c r="UEY15" s="64"/>
      <c r="UEZ15" s="64"/>
      <c r="UFA15" s="64"/>
      <c r="UFB15" s="64"/>
      <c r="UFC15" s="64"/>
      <c r="UFD15" s="64"/>
      <c r="UFE15" s="64"/>
      <c r="UFF15" s="64"/>
      <c r="UFG15" s="64"/>
      <c r="UFH15" s="64"/>
      <c r="UFI15" s="64"/>
      <c r="UFJ15" s="64"/>
      <c r="UFK15" s="64"/>
      <c r="UFL15" s="64"/>
      <c r="UFM15" s="64"/>
      <c r="UFN15" s="64"/>
      <c r="UFO15" s="64"/>
      <c r="UFP15" s="64"/>
      <c r="UFQ15" s="64"/>
      <c r="UFR15" s="64"/>
      <c r="UFS15" s="64"/>
      <c r="UFT15" s="64"/>
      <c r="UFU15" s="64"/>
      <c r="UFV15" s="64"/>
      <c r="UFW15" s="64"/>
      <c r="UFX15" s="64"/>
      <c r="UFY15" s="64"/>
      <c r="UFZ15" s="64"/>
      <c r="UGA15" s="64"/>
      <c r="UGB15" s="64"/>
      <c r="UGC15" s="64"/>
      <c r="UGD15" s="64"/>
      <c r="UGE15" s="64"/>
      <c r="UGF15" s="64"/>
      <c r="UGG15" s="64"/>
      <c r="UGH15" s="64"/>
      <c r="UGI15" s="64"/>
      <c r="UGJ15" s="64"/>
      <c r="UGK15" s="64"/>
      <c r="UGL15" s="64"/>
      <c r="UGM15" s="64"/>
      <c r="UGN15" s="64"/>
      <c r="UGO15" s="64"/>
      <c r="UGP15" s="64"/>
      <c r="UGQ15" s="64"/>
      <c r="UGR15" s="64"/>
      <c r="UGS15" s="64"/>
      <c r="UGT15" s="64"/>
      <c r="UGU15" s="64"/>
      <c r="UGV15" s="64"/>
      <c r="UGW15" s="64"/>
      <c r="UGX15" s="64"/>
      <c r="UGY15" s="64"/>
      <c r="UGZ15" s="64"/>
      <c r="UHA15" s="64"/>
      <c r="UHB15" s="64"/>
      <c r="UHC15" s="64"/>
      <c r="UHD15" s="64"/>
      <c r="UHE15" s="64"/>
      <c r="UHF15" s="64"/>
      <c r="UHG15" s="64"/>
      <c r="UHH15" s="64"/>
      <c r="UHI15" s="64"/>
      <c r="UHJ15" s="64"/>
      <c r="UHK15" s="64"/>
      <c r="UHL15" s="64"/>
      <c r="UHM15" s="64"/>
      <c r="UHN15" s="64"/>
      <c r="UHO15" s="64"/>
      <c r="UHP15" s="64"/>
      <c r="UHQ15" s="64"/>
      <c r="UHR15" s="64"/>
      <c r="UHS15" s="64"/>
      <c r="UHT15" s="64"/>
      <c r="UHU15" s="64"/>
      <c r="UHV15" s="64"/>
      <c r="UHW15" s="64"/>
      <c r="UHX15" s="64"/>
      <c r="UHY15" s="64"/>
      <c r="UHZ15" s="64"/>
      <c r="UIA15" s="64"/>
      <c r="UIB15" s="64"/>
      <c r="UIC15" s="64"/>
      <c r="UID15" s="64"/>
      <c r="UIE15" s="64"/>
      <c r="UIF15" s="64"/>
      <c r="UIG15" s="64"/>
      <c r="UIH15" s="64"/>
      <c r="UII15" s="64"/>
      <c r="UIJ15" s="64"/>
      <c r="UIK15" s="64"/>
      <c r="UIL15" s="64"/>
      <c r="UIM15" s="64"/>
      <c r="UIN15" s="64"/>
      <c r="UIO15" s="64"/>
      <c r="UIP15" s="64"/>
      <c r="UIQ15" s="64"/>
      <c r="UIR15" s="64"/>
      <c r="UIS15" s="64"/>
      <c r="UIT15" s="64"/>
      <c r="UIU15" s="64"/>
      <c r="UIV15" s="64"/>
      <c r="UIW15" s="64"/>
      <c r="UIX15" s="64"/>
      <c r="UIY15" s="64"/>
      <c r="UIZ15" s="64"/>
      <c r="UJA15" s="64"/>
      <c r="UJB15" s="64"/>
      <c r="UJC15" s="64"/>
      <c r="UJD15" s="64"/>
      <c r="UJE15" s="64"/>
      <c r="UJF15" s="64"/>
      <c r="UJG15" s="64"/>
      <c r="UJH15" s="64"/>
      <c r="UJI15" s="64"/>
      <c r="UJJ15" s="64"/>
      <c r="UJK15" s="64"/>
      <c r="UJL15" s="64"/>
      <c r="UJM15" s="64"/>
      <c r="UJN15" s="64"/>
      <c r="UJO15" s="64"/>
      <c r="UJP15" s="64"/>
      <c r="UJQ15" s="64"/>
      <c r="UJR15" s="64"/>
      <c r="UJS15" s="64"/>
      <c r="UJT15" s="64"/>
      <c r="UJU15" s="64"/>
      <c r="UJV15" s="64"/>
      <c r="UJW15" s="64"/>
      <c r="UJX15" s="64"/>
      <c r="UJY15" s="64"/>
      <c r="UJZ15" s="64"/>
      <c r="UKA15" s="64"/>
      <c r="UKB15" s="64"/>
      <c r="UKC15" s="64"/>
      <c r="UKD15" s="64"/>
      <c r="UKE15" s="64"/>
      <c r="UKF15" s="64"/>
      <c r="UKG15" s="64"/>
      <c r="UKH15" s="64"/>
      <c r="UKI15" s="64"/>
      <c r="UKJ15" s="64"/>
      <c r="UKK15" s="64"/>
      <c r="UKL15" s="64"/>
      <c r="UKM15" s="64"/>
      <c r="UKN15" s="64"/>
      <c r="UKO15" s="64"/>
      <c r="UKP15" s="64"/>
      <c r="UKQ15" s="64"/>
      <c r="UKR15" s="64"/>
      <c r="UKS15" s="64"/>
      <c r="UKT15" s="64"/>
      <c r="UKU15" s="64"/>
      <c r="UKV15" s="64"/>
      <c r="UKW15" s="64"/>
      <c r="UKX15" s="64"/>
      <c r="UKY15" s="64"/>
      <c r="UKZ15" s="64"/>
      <c r="ULA15" s="64"/>
      <c r="ULB15" s="64"/>
      <c r="ULC15" s="64"/>
      <c r="ULD15" s="64"/>
      <c r="ULE15" s="64"/>
      <c r="ULF15" s="64"/>
      <c r="ULG15" s="64"/>
      <c r="ULH15" s="64"/>
      <c r="ULI15" s="64"/>
      <c r="ULJ15" s="64"/>
      <c r="ULK15" s="64"/>
      <c r="ULL15" s="64"/>
      <c r="ULS15" s="64"/>
      <c r="ULT15" s="64"/>
      <c r="ULU15" s="64"/>
      <c r="ULV15" s="64"/>
      <c r="ULW15" s="64"/>
      <c r="ULX15" s="64"/>
      <c r="ULY15" s="64"/>
      <c r="ULZ15" s="64"/>
      <c r="UMA15" s="64"/>
      <c r="UMB15" s="64"/>
      <c r="UMC15" s="64"/>
      <c r="UMD15" s="64"/>
      <c r="UME15" s="64"/>
      <c r="UMF15" s="64"/>
      <c r="UMG15" s="64"/>
      <c r="UMH15" s="64"/>
      <c r="UMI15" s="64"/>
      <c r="UMJ15" s="64"/>
      <c r="UMK15" s="64"/>
      <c r="UML15" s="64"/>
      <c r="UMM15" s="64"/>
      <c r="UMN15" s="64"/>
      <c r="UMO15" s="64"/>
      <c r="UMP15" s="64"/>
      <c r="UMQ15" s="64"/>
      <c r="UMR15" s="64"/>
      <c r="UMS15" s="64"/>
      <c r="UMT15" s="64"/>
      <c r="UMU15" s="64"/>
      <c r="UMV15" s="64"/>
      <c r="UMW15" s="64"/>
      <c r="UMX15" s="64"/>
      <c r="UMY15" s="64"/>
      <c r="UMZ15" s="64"/>
      <c r="UNA15" s="64"/>
      <c r="UNB15" s="64"/>
      <c r="UNC15" s="64"/>
      <c r="UND15" s="64"/>
      <c r="UNE15" s="64"/>
      <c r="UNF15" s="64"/>
      <c r="UNG15" s="64"/>
      <c r="UNH15" s="64"/>
      <c r="UNI15" s="64"/>
      <c r="UNJ15" s="64"/>
      <c r="UNK15" s="64"/>
      <c r="UNL15" s="64"/>
      <c r="UNM15" s="64"/>
      <c r="UNN15" s="64"/>
      <c r="UNO15" s="64"/>
      <c r="UNP15" s="64"/>
      <c r="UNQ15" s="64"/>
      <c r="UNR15" s="64"/>
      <c r="UNS15" s="64"/>
      <c r="UNT15" s="64"/>
      <c r="UNU15" s="64"/>
      <c r="UNV15" s="64"/>
      <c r="UNW15" s="64"/>
      <c r="UNX15" s="64"/>
      <c r="UNY15" s="64"/>
      <c r="UNZ15" s="64"/>
      <c r="UOA15" s="64"/>
      <c r="UOB15" s="64"/>
      <c r="UOC15" s="64"/>
      <c r="UOD15" s="64"/>
      <c r="UOE15" s="64"/>
      <c r="UOF15" s="64"/>
      <c r="UOG15" s="64"/>
      <c r="UOH15" s="64"/>
      <c r="UOI15" s="64"/>
      <c r="UOJ15" s="64"/>
      <c r="UOK15" s="64"/>
      <c r="UOL15" s="64"/>
      <c r="UOM15" s="64"/>
      <c r="UON15" s="64"/>
      <c r="UOO15" s="64"/>
      <c r="UOP15" s="64"/>
      <c r="UOQ15" s="64"/>
      <c r="UOR15" s="64"/>
      <c r="UOS15" s="64"/>
      <c r="UOT15" s="64"/>
      <c r="UOU15" s="64"/>
      <c r="UOV15" s="64"/>
      <c r="UOW15" s="64"/>
      <c r="UOX15" s="64"/>
      <c r="UOY15" s="64"/>
      <c r="UOZ15" s="64"/>
      <c r="UPA15" s="64"/>
      <c r="UPB15" s="64"/>
      <c r="UPC15" s="64"/>
      <c r="UPD15" s="64"/>
      <c r="UPE15" s="64"/>
      <c r="UPF15" s="64"/>
      <c r="UPG15" s="64"/>
      <c r="UPH15" s="64"/>
      <c r="UPI15" s="64"/>
      <c r="UPJ15" s="64"/>
      <c r="UPK15" s="64"/>
      <c r="UPL15" s="64"/>
      <c r="UPM15" s="64"/>
      <c r="UPN15" s="64"/>
      <c r="UPO15" s="64"/>
      <c r="UPP15" s="64"/>
      <c r="UPQ15" s="64"/>
      <c r="UPR15" s="64"/>
      <c r="UPS15" s="64"/>
      <c r="UPT15" s="64"/>
      <c r="UPU15" s="64"/>
      <c r="UPV15" s="64"/>
      <c r="UPW15" s="64"/>
      <c r="UPX15" s="64"/>
      <c r="UPY15" s="64"/>
      <c r="UPZ15" s="64"/>
      <c r="UQA15" s="64"/>
      <c r="UQB15" s="64"/>
      <c r="UQC15" s="64"/>
      <c r="UQD15" s="64"/>
      <c r="UQE15" s="64"/>
      <c r="UQF15" s="64"/>
      <c r="UQG15" s="64"/>
      <c r="UQH15" s="64"/>
      <c r="UQI15" s="64"/>
      <c r="UQJ15" s="64"/>
      <c r="UQK15" s="64"/>
      <c r="UQL15" s="64"/>
      <c r="UQM15" s="64"/>
      <c r="UQN15" s="64"/>
      <c r="UQO15" s="64"/>
      <c r="UQP15" s="64"/>
      <c r="UQQ15" s="64"/>
      <c r="UQR15" s="64"/>
      <c r="UQS15" s="64"/>
      <c r="UQT15" s="64"/>
      <c r="UQU15" s="64"/>
      <c r="UQV15" s="64"/>
      <c r="UQW15" s="64"/>
      <c r="UQX15" s="64"/>
      <c r="UQY15" s="64"/>
      <c r="UQZ15" s="64"/>
      <c r="URA15" s="64"/>
      <c r="URB15" s="64"/>
      <c r="URC15" s="64"/>
      <c r="URD15" s="64"/>
      <c r="URE15" s="64"/>
      <c r="URF15" s="64"/>
      <c r="URG15" s="64"/>
      <c r="URH15" s="64"/>
      <c r="URI15" s="64"/>
      <c r="URJ15" s="64"/>
      <c r="URK15" s="64"/>
      <c r="URL15" s="64"/>
      <c r="URM15" s="64"/>
      <c r="URN15" s="64"/>
      <c r="URO15" s="64"/>
      <c r="URP15" s="64"/>
      <c r="URQ15" s="64"/>
      <c r="URR15" s="64"/>
      <c r="URS15" s="64"/>
      <c r="URT15" s="64"/>
      <c r="URU15" s="64"/>
      <c r="URV15" s="64"/>
      <c r="URW15" s="64"/>
      <c r="URX15" s="64"/>
      <c r="URY15" s="64"/>
      <c r="URZ15" s="64"/>
      <c r="USA15" s="64"/>
      <c r="USB15" s="64"/>
      <c r="USC15" s="64"/>
      <c r="USD15" s="64"/>
      <c r="USE15" s="64"/>
      <c r="USF15" s="64"/>
      <c r="USG15" s="64"/>
      <c r="USH15" s="64"/>
      <c r="USI15" s="64"/>
      <c r="USJ15" s="64"/>
      <c r="USK15" s="64"/>
      <c r="USL15" s="64"/>
      <c r="USM15" s="64"/>
      <c r="USN15" s="64"/>
      <c r="USO15" s="64"/>
      <c r="USP15" s="64"/>
      <c r="USQ15" s="64"/>
      <c r="USR15" s="64"/>
      <c r="USS15" s="64"/>
      <c r="UST15" s="64"/>
      <c r="USU15" s="64"/>
      <c r="USV15" s="64"/>
      <c r="USW15" s="64"/>
      <c r="USX15" s="64"/>
      <c r="USY15" s="64"/>
      <c r="USZ15" s="64"/>
      <c r="UTA15" s="64"/>
      <c r="UTB15" s="64"/>
      <c r="UTC15" s="64"/>
      <c r="UTD15" s="64"/>
      <c r="UTE15" s="64"/>
      <c r="UTF15" s="64"/>
      <c r="UTG15" s="64"/>
      <c r="UTH15" s="64"/>
      <c r="UTI15" s="64"/>
      <c r="UTJ15" s="64"/>
      <c r="UTK15" s="64"/>
      <c r="UTL15" s="64"/>
      <c r="UTM15" s="64"/>
      <c r="UTN15" s="64"/>
      <c r="UTO15" s="64"/>
      <c r="UTP15" s="64"/>
      <c r="UTQ15" s="64"/>
      <c r="UTR15" s="64"/>
      <c r="UTS15" s="64"/>
      <c r="UTT15" s="64"/>
      <c r="UTU15" s="64"/>
      <c r="UTV15" s="64"/>
      <c r="UTW15" s="64"/>
      <c r="UTX15" s="64"/>
      <c r="UTY15" s="64"/>
      <c r="UTZ15" s="64"/>
      <c r="UUA15" s="64"/>
      <c r="UUB15" s="64"/>
      <c r="UUC15" s="64"/>
      <c r="UUD15" s="64"/>
      <c r="UUE15" s="64"/>
      <c r="UUF15" s="64"/>
      <c r="UUG15" s="64"/>
      <c r="UUH15" s="64"/>
      <c r="UUI15" s="64"/>
      <c r="UUJ15" s="64"/>
      <c r="UUK15" s="64"/>
      <c r="UUL15" s="64"/>
      <c r="UUM15" s="64"/>
      <c r="UUN15" s="64"/>
      <c r="UUO15" s="64"/>
      <c r="UUP15" s="64"/>
      <c r="UUQ15" s="64"/>
      <c r="UUR15" s="64"/>
      <c r="UUS15" s="64"/>
      <c r="UUT15" s="64"/>
      <c r="UUU15" s="64"/>
      <c r="UUV15" s="64"/>
      <c r="UUW15" s="64"/>
      <c r="UUX15" s="64"/>
      <c r="UUY15" s="64"/>
      <c r="UUZ15" s="64"/>
      <c r="UVA15" s="64"/>
      <c r="UVB15" s="64"/>
      <c r="UVC15" s="64"/>
      <c r="UVD15" s="64"/>
      <c r="UVE15" s="64"/>
      <c r="UVF15" s="64"/>
      <c r="UVG15" s="64"/>
      <c r="UVH15" s="64"/>
      <c r="UVO15" s="64"/>
      <c r="UVP15" s="64"/>
      <c r="UVQ15" s="64"/>
      <c r="UVR15" s="64"/>
      <c r="UVS15" s="64"/>
      <c r="UVT15" s="64"/>
      <c r="UVU15" s="64"/>
      <c r="UVV15" s="64"/>
      <c r="UVW15" s="64"/>
      <c r="UVX15" s="64"/>
      <c r="UVY15" s="64"/>
      <c r="UVZ15" s="64"/>
      <c r="UWA15" s="64"/>
      <c r="UWB15" s="64"/>
      <c r="UWC15" s="64"/>
      <c r="UWD15" s="64"/>
      <c r="UWE15" s="64"/>
      <c r="UWF15" s="64"/>
      <c r="UWG15" s="64"/>
      <c r="UWH15" s="64"/>
      <c r="UWI15" s="64"/>
      <c r="UWJ15" s="64"/>
      <c r="UWK15" s="64"/>
      <c r="UWL15" s="64"/>
      <c r="UWM15" s="64"/>
      <c r="UWN15" s="64"/>
      <c r="UWO15" s="64"/>
      <c r="UWP15" s="64"/>
      <c r="UWQ15" s="64"/>
      <c r="UWR15" s="64"/>
      <c r="UWS15" s="64"/>
      <c r="UWT15" s="64"/>
      <c r="UWU15" s="64"/>
      <c r="UWV15" s="64"/>
      <c r="UWW15" s="64"/>
      <c r="UWX15" s="64"/>
      <c r="UWY15" s="64"/>
      <c r="UWZ15" s="64"/>
      <c r="UXA15" s="64"/>
      <c r="UXB15" s="64"/>
      <c r="UXC15" s="64"/>
      <c r="UXD15" s="64"/>
      <c r="UXE15" s="64"/>
      <c r="UXF15" s="64"/>
      <c r="UXG15" s="64"/>
      <c r="UXH15" s="64"/>
      <c r="UXI15" s="64"/>
      <c r="UXJ15" s="64"/>
      <c r="UXK15" s="64"/>
      <c r="UXL15" s="64"/>
      <c r="UXM15" s="64"/>
      <c r="UXN15" s="64"/>
      <c r="UXO15" s="64"/>
      <c r="UXP15" s="64"/>
      <c r="UXQ15" s="64"/>
      <c r="UXR15" s="64"/>
      <c r="UXS15" s="64"/>
      <c r="UXT15" s="64"/>
      <c r="UXU15" s="64"/>
      <c r="UXV15" s="64"/>
      <c r="UXW15" s="64"/>
      <c r="UXX15" s="64"/>
      <c r="UXY15" s="64"/>
      <c r="UXZ15" s="64"/>
      <c r="UYA15" s="64"/>
      <c r="UYB15" s="64"/>
      <c r="UYC15" s="64"/>
      <c r="UYD15" s="64"/>
      <c r="UYE15" s="64"/>
      <c r="UYF15" s="64"/>
      <c r="UYG15" s="64"/>
      <c r="UYH15" s="64"/>
      <c r="UYI15" s="64"/>
      <c r="UYJ15" s="64"/>
      <c r="UYK15" s="64"/>
      <c r="UYL15" s="64"/>
      <c r="UYM15" s="64"/>
      <c r="UYN15" s="64"/>
      <c r="UYO15" s="64"/>
      <c r="UYP15" s="64"/>
      <c r="UYQ15" s="64"/>
      <c r="UYR15" s="64"/>
      <c r="UYS15" s="64"/>
      <c r="UYT15" s="64"/>
      <c r="UYU15" s="64"/>
      <c r="UYV15" s="64"/>
      <c r="UYW15" s="64"/>
      <c r="UYX15" s="64"/>
      <c r="UYY15" s="64"/>
      <c r="UYZ15" s="64"/>
      <c r="UZA15" s="64"/>
      <c r="UZB15" s="64"/>
      <c r="UZC15" s="64"/>
      <c r="UZD15" s="64"/>
      <c r="UZE15" s="64"/>
      <c r="UZF15" s="64"/>
      <c r="UZG15" s="64"/>
      <c r="UZH15" s="64"/>
      <c r="UZI15" s="64"/>
      <c r="UZJ15" s="64"/>
      <c r="UZK15" s="64"/>
      <c r="UZL15" s="64"/>
      <c r="UZM15" s="64"/>
      <c r="UZN15" s="64"/>
      <c r="UZO15" s="64"/>
      <c r="UZP15" s="64"/>
      <c r="UZQ15" s="64"/>
      <c r="UZR15" s="64"/>
      <c r="UZS15" s="64"/>
      <c r="UZT15" s="64"/>
      <c r="UZU15" s="64"/>
      <c r="UZV15" s="64"/>
      <c r="UZW15" s="64"/>
      <c r="UZX15" s="64"/>
      <c r="UZY15" s="64"/>
      <c r="UZZ15" s="64"/>
      <c r="VAA15" s="64"/>
      <c r="VAB15" s="64"/>
      <c r="VAC15" s="64"/>
      <c r="VAD15" s="64"/>
      <c r="VAE15" s="64"/>
      <c r="VAF15" s="64"/>
      <c r="VAG15" s="64"/>
      <c r="VAH15" s="64"/>
      <c r="VAI15" s="64"/>
      <c r="VAJ15" s="64"/>
      <c r="VAK15" s="64"/>
      <c r="VAL15" s="64"/>
      <c r="VAM15" s="64"/>
      <c r="VAN15" s="64"/>
      <c r="VAO15" s="64"/>
      <c r="VAP15" s="64"/>
      <c r="VAQ15" s="64"/>
      <c r="VAR15" s="64"/>
      <c r="VAS15" s="64"/>
      <c r="VAT15" s="64"/>
      <c r="VAU15" s="64"/>
      <c r="VAV15" s="64"/>
      <c r="VAW15" s="64"/>
      <c r="VAX15" s="64"/>
      <c r="VAY15" s="64"/>
      <c r="VAZ15" s="64"/>
      <c r="VBA15" s="64"/>
      <c r="VBB15" s="64"/>
      <c r="VBC15" s="64"/>
      <c r="VBD15" s="64"/>
      <c r="VBE15" s="64"/>
      <c r="VBF15" s="64"/>
      <c r="VBG15" s="64"/>
      <c r="VBH15" s="64"/>
      <c r="VBI15" s="64"/>
      <c r="VBJ15" s="64"/>
      <c r="VBK15" s="64"/>
      <c r="VBL15" s="64"/>
      <c r="VBM15" s="64"/>
      <c r="VBN15" s="64"/>
      <c r="VBO15" s="64"/>
      <c r="VBP15" s="64"/>
      <c r="VBQ15" s="64"/>
      <c r="VBR15" s="64"/>
      <c r="VBS15" s="64"/>
      <c r="VBT15" s="64"/>
      <c r="VBU15" s="64"/>
      <c r="VBV15" s="64"/>
      <c r="VBW15" s="64"/>
      <c r="VBX15" s="64"/>
      <c r="VBY15" s="64"/>
      <c r="VBZ15" s="64"/>
      <c r="VCA15" s="64"/>
      <c r="VCB15" s="64"/>
      <c r="VCC15" s="64"/>
      <c r="VCD15" s="64"/>
      <c r="VCE15" s="64"/>
      <c r="VCF15" s="64"/>
      <c r="VCG15" s="64"/>
      <c r="VCH15" s="64"/>
      <c r="VCI15" s="64"/>
      <c r="VCJ15" s="64"/>
      <c r="VCK15" s="64"/>
      <c r="VCL15" s="64"/>
      <c r="VCM15" s="64"/>
      <c r="VCN15" s="64"/>
      <c r="VCO15" s="64"/>
      <c r="VCP15" s="64"/>
      <c r="VCQ15" s="64"/>
      <c r="VCR15" s="64"/>
      <c r="VCS15" s="64"/>
      <c r="VCT15" s="64"/>
      <c r="VCU15" s="64"/>
      <c r="VCV15" s="64"/>
      <c r="VCW15" s="64"/>
      <c r="VCX15" s="64"/>
      <c r="VCY15" s="64"/>
      <c r="VCZ15" s="64"/>
      <c r="VDA15" s="64"/>
      <c r="VDB15" s="64"/>
      <c r="VDC15" s="64"/>
      <c r="VDD15" s="64"/>
      <c r="VDE15" s="64"/>
      <c r="VDF15" s="64"/>
      <c r="VDG15" s="64"/>
      <c r="VDH15" s="64"/>
      <c r="VDI15" s="64"/>
      <c r="VDJ15" s="64"/>
      <c r="VDK15" s="64"/>
      <c r="VDL15" s="64"/>
      <c r="VDM15" s="64"/>
      <c r="VDN15" s="64"/>
      <c r="VDO15" s="64"/>
      <c r="VDP15" s="64"/>
      <c r="VDQ15" s="64"/>
      <c r="VDR15" s="64"/>
      <c r="VDS15" s="64"/>
      <c r="VDT15" s="64"/>
      <c r="VDU15" s="64"/>
      <c r="VDV15" s="64"/>
      <c r="VDW15" s="64"/>
      <c r="VDX15" s="64"/>
      <c r="VDY15" s="64"/>
      <c r="VDZ15" s="64"/>
      <c r="VEA15" s="64"/>
      <c r="VEB15" s="64"/>
      <c r="VEC15" s="64"/>
      <c r="VED15" s="64"/>
      <c r="VEE15" s="64"/>
      <c r="VEF15" s="64"/>
      <c r="VEG15" s="64"/>
      <c r="VEH15" s="64"/>
      <c r="VEI15" s="64"/>
      <c r="VEJ15" s="64"/>
      <c r="VEK15" s="64"/>
      <c r="VEL15" s="64"/>
      <c r="VEM15" s="64"/>
      <c r="VEN15" s="64"/>
      <c r="VEO15" s="64"/>
      <c r="VEP15" s="64"/>
      <c r="VEQ15" s="64"/>
      <c r="VER15" s="64"/>
      <c r="VES15" s="64"/>
      <c r="VET15" s="64"/>
      <c r="VEU15" s="64"/>
      <c r="VEV15" s="64"/>
      <c r="VEW15" s="64"/>
      <c r="VEX15" s="64"/>
      <c r="VEY15" s="64"/>
      <c r="VEZ15" s="64"/>
      <c r="VFA15" s="64"/>
      <c r="VFB15" s="64"/>
      <c r="VFC15" s="64"/>
      <c r="VFD15" s="64"/>
      <c r="VFK15" s="64"/>
      <c r="VFL15" s="64"/>
      <c r="VFM15" s="64"/>
      <c r="VFN15" s="64"/>
      <c r="VFO15" s="64"/>
      <c r="VFP15" s="64"/>
      <c r="VFQ15" s="64"/>
      <c r="VFR15" s="64"/>
      <c r="VFS15" s="64"/>
      <c r="VFT15" s="64"/>
      <c r="VFU15" s="64"/>
      <c r="VFV15" s="64"/>
      <c r="VFW15" s="64"/>
      <c r="VFX15" s="64"/>
      <c r="VFY15" s="64"/>
      <c r="VFZ15" s="64"/>
      <c r="VGA15" s="64"/>
      <c r="VGB15" s="64"/>
      <c r="VGC15" s="64"/>
      <c r="VGD15" s="64"/>
      <c r="VGE15" s="64"/>
      <c r="VGF15" s="64"/>
      <c r="VGG15" s="64"/>
      <c r="VGH15" s="64"/>
      <c r="VGI15" s="64"/>
      <c r="VGJ15" s="64"/>
      <c r="VGK15" s="64"/>
      <c r="VGL15" s="64"/>
      <c r="VGM15" s="64"/>
      <c r="VGN15" s="64"/>
      <c r="VGO15" s="64"/>
      <c r="VGP15" s="64"/>
      <c r="VGQ15" s="64"/>
      <c r="VGR15" s="64"/>
      <c r="VGS15" s="64"/>
      <c r="VGT15" s="64"/>
      <c r="VGU15" s="64"/>
      <c r="VGV15" s="64"/>
      <c r="VGW15" s="64"/>
      <c r="VGX15" s="64"/>
      <c r="VGY15" s="64"/>
      <c r="VGZ15" s="64"/>
      <c r="VHA15" s="64"/>
      <c r="VHB15" s="64"/>
      <c r="VHC15" s="64"/>
      <c r="VHD15" s="64"/>
      <c r="VHE15" s="64"/>
      <c r="VHF15" s="64"/>
      <c r="VHG15" s="64"/>
      <c r="VHH15" s="64"/>
      <c r="VHI15" s="64"/>
      <c r="VHJ15" s="64"/>
      <c r="VHK15" s="64"/>
      <c r="VHL15" s="64"/>
      <c r="VHM15" s="64"/>
      <c r="VHN15" s="64"/>
      <c r="VHO15" s="64"/>
      <c r="VHP15" s="64"/>
      <c r="VHQ15" s="64"/>
      <c r="VHR15" s="64"/>
      <c r="VHS15" s="64"/>
      <c r="VHT15" s="64"/>
      <c r="VHU15" s="64"/>
      <c r="VHV15" s="64"/>
      <c r="VHW15" s="64"/>
      <c r="VHX15" s="64"/>
      <c r="VHY15" s="64"/>
      <c r="VHZ15" s="64"/>
      <c r="VIA15" s="64"/>
      <c r="VIB15" s="64"/>
      <c r="VIC15" s="64"/>
      <c r="VID15" s="64"/>
      <c r="VIE15" s="64"/>
      <c r="VIF15" s="64"/>
      <c r="VIG15" s="64"/>
      <c r="VIH15" s="64"/>
      <c r="VII15" s="64"/>
      <c r="VIJ15" s="64"/>
      <c r="VIK15" s="64"/>
      <c r="VIL15" s="64"/>
      <c r="VIM15" s="64"/>
      <c r="VIN15" s="64"/>
      <c r="VIO15" s="64"/>
      <c r="VIP15" s="64"/>
      <c r="VIQ15" s="64"/>
      <c r="VIR15" s="64"/>
      <c r="VIS15" s="64"/>
      <c r="VIT15" s="64"/>
      <c r="VIU15" s="64"/>
      <c r="VIV15" s="64"/>
      <c r="VIW15" s="64"/>
      <c r="VIX15" s="64"/>
      <c r="VIY15" s="64"/>
      <c r="VIZ15" s="64"/>
      <c r="VJA15" s="64"/>
      <c r="VJB15" s="64"/>
      <c r="VJC15" s="64"/>
      <c r="VJD15" s="64"/>
      <c r="VJE15" s="64"/>
      <c r="VJF15" s="64"/>
      <c r="VJG15" s="64"/>
      <c r="VJH15" s="64"/>
      <c r="VJI15" s="64"/>
      <c r="VJJ15" s="64"/>
      <c r="VJK15" s="64"/>
      <c r="VJL15" s="64"/>
      <c r="VJM15" s="64"/>
      <c r="VJN15" s="64"/>
      <c r="VJO15" s="64"/>
      <c r="VJP15" s="64"/>
      <c r="VJQ15" s="64"/>
      <c r="VJR15" s="64"/>
      <c r="VJS15" s="64"/>
      <c r="VJT15" s="64"/>
      <c r="VJU15" s="64"/>
      <c r="VJV15" s="64"/>
      <c r="VJW15" s="64"/>
      <c r="VJX15" s="64"/>
      <c r="VJY15" s="64"/>
      <c r="VJZ15" s="64"/>
      <c r="VKA15" s="64"/>
      <c r="VKB15" s="64"/>
      <c r="VKC15" s="64"/>
      <c r="VKD15" s="64"/>
      <c r="VKE15" s="64"/>
      <c r="VKF15" s="64"/>
      <c r="VKG15" s="64"/>
      <c r="VKH15" s="64"/>
      <c r="VKI15" s="64"/>
      <c r="VKJ15" s="64"/>
      <c r="VKK15" s="64"/>
      <c r="VKL15" s="64"/>
      <c r="VKM15" s="64"/>
      <c r="VKN15" s="64"/>
      <c r="VKO15" s="64"/>
      <c r="VKP15" s="64"/>
      <c r="VKQ15" s="64"/>
      <c r="VKR15" s="64"/>
      <c r="VKS15" s="64"/>
      <c r="VKT15" s="64"/>
      <c r="VKU15" s="64"/>
      <c r="VKV15" s="64"/>
      <c r="VKW15" s="64"/>
      <c r="VKX15" s="64"/>
      <c r="VKY15" s="64"/>
      <c r="VKZ15" s="64"/>
      <c r="VLA15" s="64"/>
      <c r="VLB15" s="64"/>
      <c r="VLC15" s="64"/>
      <c r="VLD15" s="64"/>
      <c r="VLE15" s="64"/>
      <c r="VLF15" s="64"/>
      <c r="VLG15" s="64"/>
      <c r="VLH15" s="64"/>
      <c r="VLI15" s="64"/>
      <c r="VLJ15" s="64"/>
      <c r="VLK15" s="64"/>
      <c r="VLL15" s="64"/>
      <c r="VLM15" s="64"/>
      <c r="VLN15" s="64"/>
      <c r="VLO15" s="64"/>
      <c r="VLP15" s="64"/>
      <c r="VLQ15" s="64"/>
      <c r="VLR15" s="64"/>
      <c r="VLS15" s="64"/>
      <c r="VLT15" s="64"/>
      <c r="VLU15" s="64"/>
      <c r="VLV15" s="64"/>
      <c r="VLW15" s="64"/>
      <c r="VLX15" s="64"/>
      <c r="VLY15" s="64"/>
      <c r="VLZ15" s="64"/>
      <c r="VMA15" s="64"/>
      <c r="VMB15" s="64"/>
      <c r="VMC15" s="64"/>
      <c r="VMD15" s="64"/>
      <c r="VME15" s="64"/>
      <c r="VMF15" s="64"/>
      <c r="VMG15" s="64"/>
      <c r="VMH15" s="64"/>
      <c r="VMI15" s="64"/>
      <c r="VMJ15" s="64"/>
      <c r="VMK15" s="64"/>
      <c r="VML15" s="64"/>
      <c r="VMM15" s="64"/>
      <c r="VMN15" s="64"/>
      <c r="VMO15" s="64"/>
      <c r="VMP15" s="64"/>
      <c r="VMQ15" s="64"/>
      <c r="VMR15" s="64"/>
      <c r="VMS15" s="64"/>
      <c r="VMT15" s="64"/>
      <c r="VMU15" s="64"/>
      <c r="VMV15" s="64"/>
      <c r="VMW15" s="64"/>
      <c r="VMX15" s="64"/>
      <c r="VMY15" s="64"/>
      <c r="VMZ15" s="64"/>
      <c r="VNA15" s="64"/>
      <c r="VNB15" s="64"/>
      <c r="VNC15" s="64"/>
      <c r="VND15" s="64"/>
      <c r="VNE15" s="64"/>
      <c r="VNF15" s="64"/>
      <c r="VNG15" s="64"/>
      <c r="VNH15" s="64"/>
      <c r="VNI15" s="64"/>
      <c r="VNJ15" s="64"/>
      <c r="VNK15" s="64"/>
      <c r="VNL15" s="64"/>
      <c r="VNM15" s="64"/>
      <c r="VNN15" s="64"/>
      <c r="VNO15" s="64"/>
      <c r="VNP15" s="64"/>
      <c r="VNQ15" s="64"/>
      <c r="VNR15" s="64"/>
      <c r="VNS15" s="64"/>
      <c r="VNT15" s="64"/>
      <c r="VNU15" s="64"/>
      <c r="VNV15" s="64"/>
      <c r="VNW15" s="64"/>
      <c r="VNX15" s="64"/>
      <c r="VNY15" s="64"/>
      <c r="VNZ15" s="64"/>
      <c r="VOA15" s="64"/>
      <c r="VOB15" s="64"/>
      <c r="VOC15" s="64"/>
      <c r="VOD15" s="64"/>
      <c r="VOE15" s="64"/>
      <c r="VOF15" s="64"/>
      <c r="VOG15" s="64"/>
      <c r="VOH15" s="64"/>
      <c r="VOI15" s="64"/>
      <c r="VOJ15" s="64"/>
      <c r="VOK15" s="64"/>
      <c r="VOL15" s="64"/>
      <c r="VOM15" s="64"/>
      <c r="VON15" s="64"/>
      <c r="VOO15" s="64"/>
      <c r="VOP15" s="64"/>
      <c r="VOQ15" s="64"/>
      <c r="VOR15" s="64"/>
      <c r="VOS15" s="64"/>
      <c r="VOT15" s="64"/>
      <c r="VOU15" s="64"/>
      <c r="VOV15" s="64"/>
      <c r="VOW15" s="64"/>
      <c r="VOX15" s="64"/>
      <c r="VOY15" s="64"/>
      <c r="VOZ15" s="64"/>
      <c r="VPG15" s="64"/>
      <c r="VPH15" s="64"/>
      <c r="VPI15" s="64"/>
      <c r="VPJ15" s="64"/>
      <c r="VPK15" s="64"/>
      <c r="VPL15" s="64"/>
      <c r="VPM15" s="64"/>
      <c r="VPN15" s="64"/>
      <c r="VPO15" s="64"/>
      <c r="VPP15" s="64"/>
      <c r="VPQ15" s="64"/>
      <c r="VPR15" s="64"/>
      <c r="VPS15" s="64"/>
      <c r="VPT15" s="64"/>
      <c r="VPU15" s="64"/>
      <c r="VPV15" s="64"/>
      <c r="VPW15" s="64"/>
      <c r="VPX15" s="64"/>
      <c r="VPY15" s="64"/>
      <c r="VPZ15" s="64"/>
      <c r="VQA15" s="64"/>
      <c r="VQB15" s="64"/>
      <c r="VQC15" s="64"/>
      <c r="VQD15" s="64"/>
      <c r="VQE15" s="64"/>
      <c r="VQF15" s="64"/>
      <c r="VQG15" s="64"/>
      <c r="VQH15" s="64"/>
      <c r="VQI15" s="64"/>
      <c r="VQJ15" s="64"/>
      <c r="VQK15" s="64"/>
      <c r="VQL15" s="64"/>
      <c r="VQM15" s="64"/>
      <c r="VQN15" s="64"/>
      <c r="VQO15" s="64"/>
      <c r="VQP15" s="64"/>
      <c r="VQQ15" s="64"/>
      <c r="VQR15" s="64"/>
      <c r="VQS15" s="64"/>
      <c r="VQT15" s="64"/>
      <c r="VQU15" s="64"/>
      <c r="VQV15" s="64"/>
      <c r="VQW15" s="64"/>
      <c r="VQX15" s="64"/>
      <c r="VQY15" s="64"/>
      <c r="VQZ15" s="64"/>
      <c r="VRA15" s="64"/>
      <c r="VRB15" s="64"/>
      <c r="VRC15" s="64"/>
      <c r="VRD15" s="64"/>
      <c r="VRE15" s="64"/>
      <c r="VRF15" s="64"/>
      <c r="VRG15" s="64"/>
      <c r="VRH15" s="64"/>
      <c r="VRI15" s="64"/>
      <c r="VRJ15" s="64"/>
      <c r="VRK15" s="64"/>
      <c r="VRL15" s="64"/>
      <c r="VRM15" s="64"/>
      <c r="VRN15" s="64"/>
      <c r="VRO15" s="64"/>
      <c r="VRP15" s="64"/>
      <c r="VRQ15" s="64"/>
      <c r="VRR15" s="64"/>
      <c r="VRS15" s="64"/>
      <c r="VRT15" s="64"/>
      <c r="VRU15" s="64"/>
      <c r="VRV15" s="64"/>
      <c r="VRW15" s="64"/>
      <c r="VRX15" s="64"/>
      <c r="VRY15" s="64"/>
      <c r="VRZ15" s="64"/>
      <c r="VSA15" s="64"/>
      <c r="VSB15" s="64"/>
      <c r="VSC15" s="64"/>
      <c r="VSD15" s="64"/>
      <c r="VSE15" s="64"/>
      <c r="VSF15" s="64"/>
      <c r="VSG15" s="64"/>
      <c r="VSH15" s="64"/>
      <c r="VSI15" s="64"/>
      <c r="VSJ15" s="64"/>
      <c r="VSK15" s="64"/>
      <c r="VSL15" s="64"/>
      <c r="VSM15" s="64"/>
      <c r="VSN15" s="64"/>
      <c r="VSO15" s="64"/>
      <c r="VSP15" s="64"/>
      <c r="VSQ15" s="64"/>
      <c r="VSR15" s="64"/>
      <c r="VSS15" s="64"/>
      <c r="VST15" s="64"/>
      <c r="VSU15" s="64"/>
      <c r="VSV15" s="64"/>
      <c r="VSW15" s="64"/>
      <c r="VSX15" s="64"/>
      <c r="VSY15" s="64"/>
      <c r="VSZ15" s="64"/>
      <c r="VTA15" s="64"/>
      <c r="VTB15" s="64"/>
      <c r="VTC15" s="64"/>
      <c r="VTD15" s="64"/>
      <c r="VTE15" s="64"/>
      <c r="VTF15" s="64"/>
      <c r="VTG15" s="64"/>
      <c r="VTH15" s="64"/>
      <c r="VTI15" s="64"/>
      <c r="VTJ15" s="64"/>
      <c r="VTK15" s="64"/>
      <c r="VTL15" s="64"/>
      <c r="VTM15" s="64"/>
      <c r="VTN15" s="64"/>
      <c r="VTO15" s="64"/>
      <c r="VTP15" s="64"/>
      <c r="VTQ15" s="64"/>
      <c r="VTR15" s="64"/>
      <c r="VTS15" s="64"/>
      <c r="VTT15" s="64"/>
      <c r="VTU15" s="64"/>
      <c r="VTV15" s="64"/>
      <c r="VTW15" s="64"/>
      <c r="VTX15" s="64"/>
      <c r="VTY15" s="64"/>
      <c r="VTZ15" s="64"/>
      <c r="VUA15" s="64"/>
      <c r="VUB15" s="64"/>
      <c r="VUC15" s="64"/>
      <c r="VUD15" s="64"/>
      <c r="VUE15" s="64"/>
      <c r="VUF15" s="64"/>
      <c r="VUG15" s="64"/>
      <c r="VUH15" s="64"/>
      <c r="VUI15" s="64"/>
      <c r="VUJ15" s="64"/>
      <c r="VUK15" s="64"/>
      <c r="VUL15" s="64"/>
      <c r="VUM15" s="64"/>
      <c r="VUN15" s="64"/>
      <c r="VUO15" s="64"/>
      <c r="VUP15" s="64"/>
      <c r="VUQ15" s="64"/>
      <c r="VUR15" s="64"/>
      <c r="VUS15" s="64"/>
      <c r="VUT15" s="64"/>
      <c r="VUU15" s="64"/>
      <c r="VUV15" s="64"/>
      <c r="VUW15" s="64"/>
      <c r="VUX15" s="64"/>
      <c r="VUY15" s="64"/>
      <c r="VUZ15" s="64"/>
      <c r="VVA15" s="64"/>
      <c r="VVB15" s="64"/>
      <c r="VVC15" s="64"/>
      <c r="VVD15" s="64"/>
      <c r="VVE15" s="64"/>
      <c r="VVF15" s="64"/>
      <c r="VVG15" s="64"/>
      <c r="VVH15" s="64"/>
      <c r="VVI15" s="64"/>
      <c r="VVJ15" s="64"/>
      <c r="VVK15" s="64"/>
      <c r="VVL15" s="64"/>
      <c r="VVM15" s="64"/>
      <c r="VVN15" s="64"/>
      <c r="VVO15" s="64"/>
      <c r="VVP15" s="64"/>
      <c r="VVQ15" s="64"/>
      <c r="VVR15" s="64"/>
      <c r="VVS15" s="64"/>
      <c r="VVT15" s="64"/>
      <c r="VVU15" s="64"/>
      <c r="VVV15" s="64"/>
      <c r="VVW15" s="64"/>
      <c r="VVX15" s="64"/>
      <c r="VVY15" s="64"/>
      <c r="VVZ15" s="64"/>
      <c r="VWA15" s="64"/>
      <c r="VWB15" s="64"/>
      <c r="VWC15" s="64"/>
      <c r="VWD15" s="64"/>
      <c r="VWE15" s="64"/>
      <c r="VWF15" s="64"/>
      <c r="VWG15" s="64"/>
      <c r="VWH15" s="64"/>
      <c r="VWI15" s="64"/>
      <c r="VWJ15" s="64"/>
      <c r="VWK15" s="64"/>
      <c r="VWL15" s="64"/>
      <c r="VWM15" s="64"/>
      <c r="VWN15" s="64"/>
      <c r="VWO15" s="64"/>
      <c r="VWP15" s="64"/>
      <c r="VWQ15" s="64"/>
      <c r="VWR15" s="64"/>
      <c r="VWS15" s="64"/>
      <c r="VWT15" s="64"/>
      <c r="VWU15" s="64"/>
      <c r="VWV15" s="64"/>
      <c r="VWW15" s="64"/>
      <c r="VWX15" s="64"/>
      <c r="VWY15" s="64"/>
      <c r="VWZ15" s="64"/>
      <c r="VXA15" s="64"/>
      <c r="VXB15" s="64"/>
      <c r="VXC15" s="64"/>
      <c r="VXD15" s="64"/>
      <c r="VXE15" s="64"/>
      <c r="VXF15" s="64"/>
      <c r="VXG15" s="64"/>
      <c r="VXH15" s="64"/>
      <c r="VXI15" s="64"/>
      <c r="VXJ15" s="64"/>
      <c r="VXK15" s="64"/>
      <c r="VXL15" s="64"/>
      <c r="VXM15" s="64"/>
      <c r="VXN15" s="64"/>
      <c r="VXO15" s="64"/>
      <c r="VXP15" s="64"/>
      <c r="VXQ15" s="64"/>
      <c r="VXR15" s="64"/>
      <c r="VXS15" s="64"/>
      <c r="VXT15" s="64"/>
      <c r="VXU15" s="64"/>
      <c r="VXV15" s="64"/>
      <c r="VXW15" s="64"/>
      <c r="VXX15" s="64"/>
      <c r="VXY15" s="64"/>
      <c r="VXZ15" s="64"/>
      <c r="VYA15" s="64"/>
      <c r="VYB15" s="64"/>
      <c r="VYC15" s="64"/>
      <c r="VYD15" s="64"/>
      <c r="VYE15" s="64"/>
      <c r="VYF15" s="64"/>
      <c r="VYG15" s="64"/>
      <c r="VYH15" s="64"/>
      <c r="VYI15" s="64"/>
      <c r="VYJ15" s="64"/>
      <c r="VYK15" s="64"/>
      <c r="VYL15" s="64"/>
      <c r="VYM15" s="64"/>
      <c r="VYN15" s="64"/>
      <c r="VYO15" s="64"/>
      <c r="VYP15" s="64"/>
      <c r="VYQ15" s="64"/>
      <c r="VYR15" s="64"/>
      <c r="VYS15" s="64"/>
      <c r="VYT15" s="64"/>
      <c r="VYU15" s="64"/>
      <c r="VYV15" s="64"/>
      <c r="VZC15" s="64"/>
      <c r="VZD15" s="64"/>
      <c r="VZE15" s="64"/>
      <c r="VZF15" s="64"/>
      <c r="VZG15" s="64"/>
      <c r="VZH15" s="64"/>
      <c r="VZI15" s="64"/>
      <c r="VZJ15" s="64"/>
      <c r="VZK15" s="64"/>
      <c r="VZL15" s="64"/>
      <c r="VZM15" s="64"/>
      <c r="VZN15" s="64"/>
      <c r="VZO15" s="64"/>
      <c r="VZP15" s="64"/>
      <c r="VZQ15" s="64"/>
      <c r="VZR15" s="64"/>
      <c r="VZS15" s="64"/>
      <c r="VZT15" s="64"/>
      <c r="VZU15" s="64"/>
      <c r="VZV15" s="64"/>
      <c r="VZW15" s="64"/>
      <c r="VZX15" s="64"/>
      <c r="VZY15" s="64"/>
      <c r="VZZ15" s="64"/>
      <c r="WAA15" s="64"/>
      <c r="WAB15" s="64"/>
      <c r="WAC15" s="64"/>
      <c r="WAD15" s="64"/>
      <c r="WAE15" s="64"/>
      <c r="WAF15" s="64"/>
      <c r="WAG15" s="64"/>
      <c r="WAH15" s="64"/>
      <c r="WAI15" s="64"/>
      <c r="WAJ15" s="64"/>
      <c r="WAK15" s="64"/>
      <c r="WAL15" s="64"/>
      <c r="WAM15" s="64"/>
      <c r="WAN15" s="64"/>
      <c r="WAO15" s="64"/>
      <c r="WAP15" s="64"/>
      <c r="WAQ15" s="64"/>
      <c r="WAR15" s="64"/>
      <c r="WAS15" s="64"/>
      <c r="WAT15" s="64"/>
      <c r="WAU15" s="64"/>
      <c r="WAV15" s="64"/>
      <c r="WAW15" s="64"/>
      <c r="WAX15" s="64"/>
      <c r="WAY15" s="64"/>
      <c r="WAZ15" s="64"/>
      <c r="WBA15" s="64"/>
      <c r="WBB15" s="64"/>
      <c r="WBC15" s="64"/>
      <c r="WBD15" s="64"/>
      <c r="WBE15" s="64"/>
      <c r="WBF15" s="64"/>
      <c r="WBG15" s="64"/>
      <c r="WBH15" s="64"/>
      <c r="WBI15" s="64"/>
      <c r="WBJ15" s="64"/>
      <c r="WBK15" s="64"/>
      <c r="WBL15" s="64"/>
      <c r="WBM15" s="64"/>
      <c r="WBN15" s="64"/>
      <c r="WBO15" s="64"/>
      <c r="WBP15" s="64"/>
      <c r="WBQ15" s="64"/>
      <c r="WBR15" s="64"/>
      <c r="WBS15" s="64"/>
      <c r="WBT15" s="64"/>
      <c r="WBU15" s="64"/>
      <c r="WBV15" s="64"/>
      <c r="WBW15" s="64"/>
      <c r="WBX15" s="64"/>
      <c r="WBY15" s="64"/>
      <c r="WBZ15" s="64"/>
      <c r="WCA15" s="64"/>
      <c r="WCB15" s="64"/>
      <c r="WCC15" s="64"/>
      <c r="WCD15" s="64"/>
      <c r="WCE15" s="64"/>
      <c r="WCF15" s="64"/>
      <c r="WCG15" s="64"/>
      <c r="WCH15" s="64"/>
      <c r="WCI15" s="64"/>
      <c r="WCJ15" s="64"/>
      <c r="WCK15" s="64"/>
      <c r="WCL15" s="64"/>
      <c r="WCM15" s="64"/>
      <c r="WCN15" s="64"/>
      <c r="WCO15" s="64"/>
      <c r="WCP15" s="64"/>
      <c r="WCQ15" s="64"/>
      <c r="WCR15" s="64"/>
      <c r="WCS15" s="64"/>
      <c r="WCT15" s="64"/>
      <c r="WCU15" s="64"/>
      <c r="WCV15" s="64"/>
      <c r="WCW15" s="64"/>
      <c r="WCX15" s="64"/>
      <c r="WCY15" s="64"/>
      <c r="WCZ15" s="64"/>
      <c r="WDA15" s="64"/>
      <c r="WDB15" s="64"/>
      <c r="WDC15" s="64"/>
      <c r="WDD15" s="64"/>
      <c r="WDE15" s="64"/>
      <c r="WDF15" s="64"/>
      <c r="WDG15" s="64"/>
      <c r="WDH15" s="64"/>
      <c r="WDI15" s="64"/>
      <c r="WDJ15" s="64"/>
      <c r="WDK15" s="64"/>
      <c r="WDL15" s="64"/>
      <c r="WDM15" s="64"/>
      <c r="WDN15" s="64"/>
      <c r="WDO15" s="64"/>
      <c r="WDP15" s="64"/>
      <c r="WDQ15" s="64"/>
      <c r="WDR15" s="64"/>
      <c r="WDS15" s="64"/>
      <c r="WDT15" s="64"/>
      <c r="WDU15" s="64"/>
      <c r="WDV15" s="64"/>
      <c r="WDW15" s="64"/>
      <c r="WDX15" s="64"/>
      <c r="WDY15" s="64"/>
      <c r="WDZ15" s="64"/>
      <c r="WEA15" s="64"/>
      <c r="WEB15" s="64"/>
      <c r="WEC15" s="64"/>
      <c r="WED15" s="64"/>
      <c r="WEE15" s="64"/>
      <c r="WEF15" s="64"/>
      <c r="WEG15" s="64"/>
      <c r="WEH15" s="64"/>
      <c r="WEI15" s="64"/>
      <c r="WEJ15" s="64"/>
      <c r="WEK15" s="64"/>
      <c r="WEL15" s="64"/>
      <c r="WEM15" s="64"/>
      <c r="WEN15" s="64"/>
      <c r="WEO15" s="64"/>
      <c r="WEP15" s="64"/>
      <c r="WEQ15" s="64"/>
      <c r="WER15" s="64"/>
      <c r="WES15" s="64"/>
      <c r="WET15" s="64"/>
      <c r="WEU15" s="64"/>
      <c r="WEV15" s="64"/>
      <c r="WEW15" s="64"/>
      <c r="WEX15" s="64"/>
      <c r="WEY15" s="64"/>
      <c r="WEZ15" s="64"/>
      <c r="WFA15" s="64"/>
      <c r="WFB15" s="64"/>
      <c r="WFC15" s="64"/>
      <c r="WFD15" s="64"/>
      <c r="WFE15" s="64"/>
      <c r="WFF15" s="64"/>
      <c r="WFG15" s="64"/>
      <c r="WFH15" s="64"/>
      <c r="WFI15" s="64"/>
      <c r="WFJ15" s="64"/>
      <c r="WFK15" s="64"/>
      <c r="WFL15" s="64"/>
      <c r="WFM15" s="64"/>
      <c r="WFN15" s="64"/>
      <c r="WFO15" s="64"/>
      <c r="WFP15" s="64"/>
      <c r="WFQ15" s="64"/>
      <c r="WFR15" s="64"/>
      <c r="WFS15" s="64"/>
      <c r="WFT15" s="64"/>
      <c r="WFU15" s="64"/>
      <c r="WFV15" s="64"/>
      <c r="WFW15" s="64"/>
      <c r="WFX15" s="64"/>
      <c r="WFY15" s="64"/>
      <c r="WFZ15" s="64"/>
      <c r="WGA15" s="64"/>
      <c r="WGB15" s="64"/>
      <c r="WGC15" s="64"/>
      <c r="WGD15" s="64"/>
      <c r="WGE15" s="64"/>
      <c r="WGF15" s="64"/>
      <c r="WGG15" s="64"/>
      <c r="WGH15" s="64"/>
      <c r="WGI15" s="64"/>
      <c r="WGJ15" s="64"/>
      <c r="WGK15" s="64"/>
      <c r="WGL15" s="64"/>
      <c r="WGM15" s="64"/>
      <c r="WGN15" s="64"/>
      <c r="WGO15" s="64"/>
      <c r="WGP15" s="64"/>
      <c r="WGQ15" s="64"/>
      <c r="WGR15" s="64"/>
      <c r="WGS15" s="64"/>
      <c r="WGT15" s="64"/>
      <c r="WGU15" s="64"/>
      <c r="WGV15" s="64"/>
      <c r="WGW15" s="64"/>
      <c r="WGX15" s="64"/>
      <c r="WGY15" s="64"/>
      <c r="WGZ15" s="64"/>
      <c r="WHA15" s="64"/>
      <c r="WHB15" s="64"/>
      <c r="WHC15" s="64"/>
      <c r="WHD15" s="64"/>
      <c r="WHE15" s="64"/>
      <c r="WHF15" s="64"/>
      <c r="WHG15" s="64"/>
      <c r="WHH15" s="64"/>
      <c r="WHI15" s="64"/>
      <c r="WHJ15" s="64"/>
      <c r="WHK15" s="64"/>
      <c r="WHL15" s="64"/>
      <c r="WHM15" s="64"/>
      <c r="WHN15" s="64"/>
      <c r="WHO15" s="64"/>
      <c r="WHP15" s="64"/>
      <c r="WHQ15" s="64"/>
      <c r="WHR15" s="64"/>
      <c r="WHS15" s="64"/>
      <c r="WHT15" s="64"/>
      <c r="WHU15" s="64"/>
      <c r="WHV15" s="64"/>
      <c r="WHW15" s="64"/>
      <c r="WHX15" s="64"/>
      <c r="WHY15" s="64"/>
      <c r="WHZ15" s="64"/>
      <c r="WIA15" s="64"/>
      <c r="WIB15" s="64"/>
      <c r="WIC15" s="64"/>
      <c r="WID15" s="64"/>
      <c r="WIE15" s="64"/>
      <c r="WIF15" s="64"/>
      <c r="WIG15" s="64"/>
      <c r="WIH15" s="64"/>
      <c r="WII15" s="64"/>
      <c r="WIJ15" s="64"/>
      <c r="WIK15" s="64"/>
      <c r="WIL15" s="64"/>
      <c r="WIM15" s="64"/>
      <c r="WIN15" s="64"/>
      <c r="WIO15" s="64"/>
      <c r="WIP15" s="64"/>
      <c r="WIQ15" s="64"/>
      <c r="WIR15" s="64"/>
      <c r="WIY15" s="64"/>
      <c r="WIZ15" s="64"/>
      <c r="WJA15" s="64"/>
      <c r="WJB15" s="64"/>
      <c r="WJC15" s="64"/>
      <c r="WJD15" s="64"/>
      <c r="WJE15" s="64"/>
      <c r="WJF15" s="64"/>
      <c r="WJG15" s="64"/>
      <c r="WJH15" s="64"/>
      <c r="WJI15" s="64"/>
      <c r="WJJ15" s="64"/>
      <c r="WJK15" s="64"/>
      <c r="WJL15" s="64"/>
      <c r="WJM15" s="64"/>
      <c r="WJN15" s="64"/>
      <c r="WJO15" s="64"/>
      <c r="WJP15" s="64"/>
      <c r="WJQ15" s="64"/>
      <c r="WJR15" s="64"/>
      <c r="WJS15" s="64"/>
      <c r="WJT15" s="64"/>
      <c r="WJU15" s="64"/>
      <c r="WJV15" s="64"/>
      <c r="WJW15" s="64"/>
      <c r="WJX15" s="64"/>
      <c r="WJY15" s="64"/>
      <c r="WJZ15" s="64"/>
      <c r="WKA15" s="64"/>
      <c r="WKB15" s="64"/>
      <c r="WKC15" s="64"/>
      <c r="WKD15" s="64"/>
      <c r="WKE15" s="64"/>
      <c r="WKF15" s="64"/>
      <c r="WKG15" s="64"/>
      <c r="WKH15" s="64"/>
      <c r="WKI15" s="64"/>
      <c r="WKJ15" s="64"/>
      <c r="WKK15" s="64"/>
      <c r="WKL15" s="64"/>
      <c r="WKM15" s="64"/>
      <c r="WKN15" s="64"/>
      <c r="WKO15" s="64"/>
      <c r="WKP15" s="64"/>
      <c r="WKQ15" s="64"/>
      <c r="WKR15" s="64"/>
      <c r="WKS15" s="64"/>
      <c r="WKT15" s="64"/>
      <c r="WKU15" s="64"/>
      <c r="WKV15" s="64"/>
      <c r="WKW15" s="64"/>
      <c r="WKX15" s="64"/>
      <c r="WKY15" s="64"/>
      <c r="WKZ15" s="64"/>
      <c r="WLA15" s="64"/>
      <c r="WLB15" s="64"/>
      <c r="WLC15" s="64"/>
      <c r="WLD15" s="64"/>
      <c r="WLE15" s="64"/>
      <c r="WLF15" s="64"/>
      <c r="WLG15" s="64"/>
      <c r="WLH15" s="64"/>
      <c r="WLI15" s="64"/>
      <c r="WLJ15" s="64"/>
      <c r="WLK15" s="64"/>
      <c r="WLL15" s="64"/>
      <c r="WLM15" s="64"/>
      <c r="WLN15" s="64"/>
      <c r="WLO15" s="64"/>
      <c r="WLP15" s="64"/>
      <c r="WLQ15" s="64"/>
      <c r="WLR15" s="64"/>
      <c r="WLS15" s="64"/>
      <c r="WLT15" s="64"/>
      <c r="WLU15" s="64"/>
      <c r="WLV15" s="64"/>
      <c r="WLW15" s="64"/>
      <c r="WLX15" s="64"/>
      <c r="WLY15" s="64"/>
      <c r="WLZ15" s="64"/>
      <c r="WMA15" s="64"/>
      <c r="WMB15" s="64"/>
      <c r="WMC15" s="64"/>
      <c r="WMD15" s="64"/>
      <c r="WME15" s="64"/>
      <c r="WMF15" s="64"/>
      <c r="WMG15" s="64"/>
      <c r="WMH15" s="64"/>
      <c r="WMI15" s="64"/>
      <c r="WMJ15" s="64"/>
      <c r="WMK15" s="64"/>
      <c r="WML15" s="64"/>
      <c r="WMM15" s="64"/>
      <c r="WMN15" s="64"/>
      <c r="WMO15" s="64"/>
      <c r="WMP15" s="64"/>
      <c r="WMQ15" s="64"/>
      <c r="WMR15" s="64"/>
      <c r="WMS15" s="64"/>
      <c r="WMT15" s="64"/>
      <c r="WMU15" s="64"/>
      <c r="WMV15" s="64"/>
      <c r="WMW15" s="64"/>
      <c r="WMX15" s="64"/>
      <c r="WMY15" s="64"/>
      <c r="WMZ15" s="64"/>
      <c r="WNA15" s="64"/>
      <c r="WNB15" s="64"/>
      <c r="WNC15" s="64"/>
      <c r="WND15" s="64"/>
      <c r="WNE15" s="64"/>
      <c r="WNF15" s="64"/>
      <c r="WNG15" s="64"/>
      <c r="WNH15" s="64"/>
      <c r="WNI15" s="64"/>
      <c r="WNJ15" s="64"/>
      <c r="WNK15" s="64"/>
      <c r="WNL15" s="64"/>
      <c r="WNM15" s="64"/>
      <c r="WNN15" s="64"/>
      <c r="WNO15" s="64"/>
      <c r="WNP15" s="64"/>
      <c r="WNQ15" s="64"/>
      <c r="WNR15" s="64"/>
      <c r="WNS15" s="64"/>
      <c r="WNT15" s="64"/>
      <c r="WNU15" s="64"/>
      <c r="WNV15" s="64"/>
      <c r="WNW15" s="64"/>
      <c r="WNX15" s="64"/>
      <c r="WNY15" s="64"/>
      <c r="WNZ15" s="64"/>
      <c r="WOA15" s="64"/>
      <c r="WOB15" s="64"/>
      <c r="WOC15" s="64"/>
      <c r="WOD15" s="64"/>
      <c r="WOE15" s="64"/>
      <c r="WOF15" s="64"/>
      <c r="WOG15" s="64"/>
      <c r="WOH15" s="64"/>
      <c r="WOI15" s="64"/>
      <c r="WOJ15" s="64"/>
      <c r="WOK15" s="64"/>
      <c r="WOL15" s="64"/>
      <c r="WOM15" s="64"/>
      <c r="WON15" s="64"/>
      <c r="WOO15" s="64"/>
      <c r="WOP15" s="64"/>
      <c r="WOQ15" s="64"/>
      <c r="WOR15" s="64"/>
      <c r="WOS15" s="64"/>
      <c r="WOT15" s="64"/>
      <c r="WOU15" s="64"/>
      <c r="WOV15" s="64"/>
      <c r="WOW15" s="64"/>
      <c r="WOX15" s="64"/>
      <c r="WOY15" s="64"/>
      <c r="WOZ15" s="64"/>
      <c r="WPA15" s="64"/>
      <c r="WPB15" s="64"/>
      <c r="WPC15" s="64"/>
      <c r="WPD15" s="64"/>
      <c r="WPE15" s="64"/>
      <c r="WPF15" s="64"/>
      <c r="WPG15" s="64"/>
      <c r="WPH15" s="64"/>
      <c r="WPI15" s="64"/>
      <c r="WPJ15" s="64"/>
      <c r="WPK15" s="64"/>
      <c r="WPL15" s="64"/>
      <c r="WPM15" s="64"/>
      <c r="WPN15" s="64"/>
      <c r="WPO15" s="64"/>
      <c r="WPP15" s="64"/>
      <c r="WPQ15" s="64"/>
      <c r="WPR15" s="64"/>
      <c r="WPS15" s="64"/>
      <c r="WPT15" s="64"/>
      <c r="WPU15" s="64"/>
      <c r="WPV15" s="64"/>
      <c r="WPW15" s="64"/>
      <c r="WPX15" s="64"/>
      <c r="WPY15" s="64"/>
      <c r="WPZ15" s="64"/>
      <c r="WQA15" s="64"/>
      <c r="WQB15" s="64"/>
      <c r="WQC15" s="64"/>
      <c r="WQD15" s="64"/>
      <c r="WQE15" s="64"/>
      <c r="WQF15" s="64"/>
      <c r="WQG15" s="64"/>
      <c r="WQH15" s="64"/>
      <c r="WQI15" s="64"/>
      <c r="WQJ15" s="64"/>
      <c r="WQK15" s="64"/>
      <c r="WQL15" s="64"/>
      <c r="WQM15" s="64"/>
      <c r="WQN15" s="64"/>
      <c r="WQO15" s="64"/>
      <c r="WQP15" s="64"/>
      <c r="WQQ15" s="64"/>
      <c r="WQR15" s="64"/>
      <c r="WQS15" s="64"/>
      <c r="WQT15" s="64"/>
      <c r="WQU15" s="64"/>
      <c r="WQV15" s="64"/>
      <c r="WQW15" s="64"/>
      <c r="WQX15" s="64"/>
      <c r="WQY15" s="64"/>
      <c r="WQZ15" s="64"/>
      <c r="WRA15" s="64"/>
      <c r="WRB15" s="64"/>
      <c r="WRC15" s="64"/>
      <c r="WRD15" s="64"/>
      <c r="WRE15" s="64"/>
      <c r="WRF15" s="64"/>
      <c r="WRG15" s="64"/>
      <c r="WRH15" s="64"/>
      <c r="WRI15" s="64"/>
      <c r="WRJ15" s="64"/>
      <c r="WRK15" s="64"/>
      <c r="WRL15" s="64"/>
      <c r="WRM15" s="64"/>
      <c r="WRN15" s="64"/>
      <c r="WRO15" s="64"/>
      <c r="WRP15" s="64"/>
      <c r="WRQ15" s="64"/>
      <c r="WRR15" s="64"/>
      <c r="WRS15" s="64"/>
      <c r="WRT15" s="64"/>
      <c r="WRU15" s="64"/>
      <c r="WRV15" s="64"/>
      <c r="WRW15" s="64"/>
      <c r="WRX15" s="64"/>
      <c r="WRY15" s="64"/>
      <c r="WRZ15" s="64"/>
      <c r="WSA15" s="64"/>
      <c r="WSB15" s="64"/>
      <c r="WSC15" s="64"/>
      <c r="WSD15" s="64"/>
      <c r="WSE15" s="64"/>
      <c r="WSF15" s="64"/>
      <c r="WSG15" s="64"/>
      <c r="WSH15" s="64"/>
      <c r="WSI15" s="64"/>
      <c r="WSJ15" s="64"/>
      <c r="WSK15" s="64"/>
      <c r="WSL15" s="64"/>
      <c r="WSM15" s="64"/>
      <c r="WSN15" s="64"/>
      <c r="WSU15" s="64"/>
      <c r="WSV15" s="64"/>
      <c r="WSW15" s="64"/>
      <c r="WSX15" s="64"/>
      <c r="WSY15" s="64"/>
      <c r="WSZ15" s="64"/>
      <c r="WTA15" s="64"/>
      <c r="WTB15" s="64"/>
      <c r="WTC15" s="64"/>
      <c r="WTD15" s="64"/>
      <c r="WTE15" s="64"/>
      <c r="WTF15" s="64"/>
      <c r="WTG15" s="64"/>
      <c r="WTH15" s="64"/>
      <c r="WTI15" s="64"/>
      <c r="WTJ15" s="64"/>
      <c r="WTK15" s="64"/>
      <c r="WTL15" s="64"/>
      <c r="WTM15" s="64"/>
      <c r="WTN15" s="64"/>
      <c r="WTO15" s="64"/>
      <c r="WTP15" s="64"/>
      <c r="WTQ15" s="64"/>
      <c r="WTR15" s="64"/>
      <c r="WTS15" s="64"/>
      <c r="WTT15" s="64"/>
      <c r="WTU15" s="64"/>
      <c r="WTV15" s="64"/>
      <c r="WTW15" s="64"/>
      <c r="WTX15" s="64"/>
      <c r="WTY15" s="64"/>
      <c r="WTZ15" s="64"/>
      <c r="WUA15" s="64"/>
      <c r="WUB15" s="64"/>
      <c r="WUC15" s="64"/>
      <c r="WUD15" s="64"/>
      <c r="WUE15" s="64"/>
      <c r="WUF15" s="64"/>
      <c r="WUG15" s="64"/>
      <c r="WUH15" s="64"/>
      <c r="WUI15" s="64"/>
      <c r="WUJ15" s="64"/>
      <c r="WUK15" s="64"/>
      <c r="WUL15" s="64"/>
      <c r="WUM15" s="64"/>
      <c r="WUN15" s="64"/>
      <c r="WUO15" s="64"/>
      <c r="WUP15" s="64"/>
      <c r="WUQ15" s="64"/>
      <c r="WUR15" s="64"/>
      <c r="WUS15" s="64"/>
      <c r="WUT15" s="64"/>
      <c r="WUU15" s="64"/>
      <c r="WUV15" s="64"/>
      <c r="WUW15" s="64"/>
      <c r="WUX15" s="64"/>
      <c r="WUY15" s="64"/>
      <c r="WUZ15" s="64"/>
      <c r="WVA15" s="64"/>
      <c r="WVB15" s="64"/>
      <c r="WVC15" s="64"/>
      <c r="WVD15" s="64"/>
      <c r="WVE15" s="64"/>
      <c r="WVF15" s="64"/>
      <c r="WVG15" s="64"/>
      <c r="WVH15" s="64"/>
      <c r="WVI15" s="64"/>
      <c r="WVJ15" s="64"/>
      <c r="WVK15" s="64"/>
      <c r="WVL15" s="64"/>
      <c r="WVM15" s="64"/>
      <c r="WVN15" s="64"/>
      <c r="WVO15" s="64"/>
      <c r="WVP15" s="64"/>
      <c r="WVQ15" s="64"/>
      <c r="WVR15" s="64"/>
      <c r="WVS15" s="64"/>
      <c r="WVT15" s="64"/>
      <c r="WVU15" s="64"/>
      <c r="WVV15" s="64"/>
      <c r="WVW15" s="64"/>
      <c r="WVX15" s="64"/>
      <c r="WVY15" s="64"/>
      <c r="WVZ15" s="64"/>
      <c r="WWA15" s="64"/>
      <c r="WWB15" s="64"/>
      <c r="WWC15" s="64"/>
      <c r="WWD15" s="64"/>
      <c r="WWE15" s="64"/>
      <c r="WWF15" s="64"/>
      <c r="WWG15" s="64"/>
      <c r="WWH15" s="64"/>
      <c r="WWI15" s="64"/>
      <c r="WWJ15" s="64"/>
      <c r="WWK15" s="64"/>
      <c r="WWL15" s="64"/>
      <c r="WWM15" s="64"/>
      <c r="WWN15" s="64"/>
      <c r="WWO15" s="64"/>
      <c r="WWP15" s="64"/>
      <c r="WWQ15" s="64"/>
      <c r="WWR15" s="64"/>
      <c r="WWS15" s="64"/>
      <c r="WWT15" s="64"/>
      <c r="WWU15" s="64"/>
      <c r="WWV15" s="64"/>
      <c r="WWW15" s="64"/>
      <c r="WWX15" s="64"/>
      <c r="WWY15" s="64"/>
      <c r="WWZ15" s="64"/>
      <c r="WXA15" s="64"/>
      <c r="WXB15" s="64"/>
      <c r="WXC15" s="64"/>
      <c r="WXD15" s="64"/>
      <c r="WXE15" s="64"/>
      <c r="WXF15" s="64"/>
      <c r="WXG15" s="64"/>
      <c r="WXH15" s="64"/>
      <c r="WXI15" s="64"/>
      <c r="WXJ15" s="64"/>
      <c r="WXK15" s="64"/>
      <c r="WXL15" s="64"/>
      <c r="WXM15" s="64"/>
      <c r="WXN15" s="64"/>
      <c r="WXO15" s="64"/>
      <c r="WXP15" s="64"/>
      <c r="WXQ15" s="64"/>
      <c r="WXR15" s="64"/>
      <c r="WXS15" s="64"/>
      <c r="WXT15" s="64"/>
      <c r="WXU15" s="64"/>
      <c r="WXV15" s="64"/>
      <c r="WXW15" s="64"/>
      <c r="WXX15" s="64"/>
      <c r="WXY15" s="64"/>
      <c r="WXZ15" s="64"/>
      <c r="WYA15" s="64"/>
      <c r="WYB15" s="64"/>
      <c r="WYC15" s="64"/>
      <c r="WYD15" s="64"/>
      <c r="WYE15" s="64"/>
      <c r="WYF15" s="64"/>
      <c r="WYG15" s="64"/>
      <c r="WYH15" s="64"/>
      <c r="WYI15" s="64"/>
      <c r="WYJ15" s="64"/>
      <c r="WYK15" s="64"/>
      <c r="WYL15" s="64"/>
      <c r="WYM15" s="64"/>
      <c r="WYN15" s="64"/>
      <c r="WYO15" s="64"/>
      <c r="WYP15" s="64"/>
      <c r="WYQ15" s="64"/>
      <c r="WYR15" s="64"/>
      <c r="WYS15" s="64"/>
      <c r="WYT15" s="64"/>
      <c r="WYU15" s="64"/>
      <c r="WYV15" s="64"/>
      <c r="WYW15" s="64"/>
      <c r="WYX15" s="64"/>
      <c r="WYY15" s="64"/>
      <c r="WYZ15" s="64"/>
      <c r="WZA15" s="64"/>
      <c r="WZB15" s="64"/>
      <c r="WZC15" s="64"/>
      <c r="WZD15" s="64"/>
      <c r="WZE15" s="64"/>
      <c r="WZF15" s="64"/>
      <c r="WZG15" s="64"/>
      <c r="WZH15" s="64"/>
      <c r="WZI15" s="64"/>
      <c r="WZJ15" s="64"/>
      <c r="WZK15" s="64"/>
      <c r="WZL15" s="64"/>
      <c r="WZM15" s="64"/>
      <c r="WZN15" s="64"/>
      <c r="WZO15" s="64"/>
      <c r="WZP15" s="64"/>
      <c r="WZQ15" s="64"/>
      <c r="WZR15" s="64"/>
      <c r="WZS15" s="64"/>
      <c r="WZT15" s="64"/>
      <c r="WZU15" s="64"/>
      <c r="WZV15" s="64"/>
      <c r="WZW15" s="64"/>
      <c r="WZX15" s="64"/>
      <c r="WZY15" s="64"/>
      <c r="WZZ15" s="64"/>
      <c r="XAA15" s="64"/>
      <c r="XAB15" s="64"/>
      <c r="XAC15" s="64"/>
      <c r="XAD15" s="64"/>
      <c r="XAE15" s="64"/>
      <c r="XAF15" s="64"/>
      <c r="XAG15" s="64"/>
      <c r="XAH15" s="64"/>
      <c r="XAI15" s="64"/>
      <c r="XAJ15" s="64"/>
      <c r="XAK15" s="64"/>
      <c r="XAL15" s="64"/>
      <c r="XAM15" s="64"/>
      <c r="XAN15" s="64"/>
      <c r="XAO15" s="64"/>
      <c r="XAP15" s="64"/>
      <c r="XAQ15" s="64"/>
      <c r="XAR15" s="64"/>
      <c r="XAS15" s="64"/>
      <c r="XAT15" s="64"/>
      <c r="XAU15" s="64"/>
      <c r="XAV15" s="64"/>
      <c r="XAW15" s="64"/>
      <c r="XAX15" s="64"/>
      <c r="XAY15" s="64"/>
      <c r="XAZ15" s="64"/>
      <c r="XBA15" s="64"/>
      <c r="XBB15" s="64"/>
      <c r="XBC15" s="64"/>
      <c r="XBD15" s="64"/>
      <c r="XBE15" s="64"/>
      <c r="XBF15" s="64"/>
      <c r="XBG15" s="64"/>
      <c r="XBH15" s="64"/>
      <c r="XBI15" s="64"/>
      <c r="XBJ15" s="64"/>
      <c r="XBK15" s="64"/>
      <c r="XBL15" s="64"/>
      <c r="XBM15" s="64"/>
      <c r="XBN15" s="64"/>
      <c r="XBO15" s="64"/>
      <c r="XBP15" s="64"/>
      <c r="XBQ15" s="64"/>
      <c r="XBR15" s="64"/>
      <c r="XBS15" s="64"/>
      <c r="XBT15" s="64"/>
      <c r="XBU15" s="64"/>
      <c r="XBV15" s="64"/>
      <c r="XBW15" s="64"/>
      <c r="XBX15" s="64"/>
      <c r="XBY15" s="64"/>
      <c r="XBZ15" s="64"/>
      <c r="XCA15" s="64"/>
      <c r="XCB15" s="64"/>
      <c r="XCC15" s="64"/>
      <c r="XCD15" s="64"/>
      <c r="XCE15" s="64"/>
    </row>
    <row r="16" spans="1:16307" ht="25.5" customHeight="1" x14ac:dyDescent="0.25">
      <c r="A16" s="67" t="s">
        <v>174</v>
      </c>
      <c r="B16" s="68" t="s">
        <v>505</v>
      </c>
      <c r="C16" s="69"/>
      <c r="D16" s="74">
        <f>D19+D21+D17</f>
        <v>243894066.76999998</v>
      </c>
      <c r="E16" s="74">
        <f>E19+E21+E17</f>
        <v>247117600</v>
      </c>
      <c r="F16" s="74">
        <f>F19+F21+F17</f>
        <v>247117600</v>
      </c>
    </row>
    <row r="17" spans="1:958 1209:1982 2233:3006 3257:4030 4281:5054 5305:6078 6329:7102 7353:8126 8377:9150 9401:10174 10425:11198 11449:12222 12473:13246 13497:14270 14521:15294 15545:16062" s="64" customFormat="1" ht="33.75" customHeight="1" x14ac:dyDescent="0.25">
      <c r="A17" s="79" t="s">
        <v>594</v>
      </c>
      <c r="B17" s="76" t="s">
        <v>595</v>
      </c>
      <c r="C17" s="62"/>
      <c r="D17" s="77">
        <f>D18</f>
        <v>478374.44</v>
      </c>
      <c r="E17" s="77">
        <f>E18</f>
        <v>0</v>
      </c>
      <c r="F17" s="77">
        <f>F18</f>
        <v>0</v>
      </c>
    </row>
    <row r="18" spans="1:958 1209:1982 2233:3006 3257:4030 4281:5054 5305:6078 6329:7102 7353:8126 8377:9150 9401:10174 10425:11198 11449:12222 12473:13246 13497:14270 14521:15294 15545:16062" ht="37.5" customHeight="1" x14ac:dyDescent="0.25">
      <c r="A18" s="72" t="s">
        <v>170</v>
      </c>
      <c r="B18" s="71" t="s">
        <v>595</v>
      </c>
      <c r="C18" s="59">
        <v>200</v>
      </c>
      <c r="D18" s="311">
        <f>'Приложение 4'!F210</f>
        <v>478374.44</v>
      </c>
      <c r="E18" s="311">
        <f>'Приложение 4'!G210</f>
        <v>0</v>
      </c>
      <c r="F18" s="311">
        <f>'Приложение 4'!H210</f>
        <v>0</v>
      </c>
      <c r="GC18" s="1"/>
      <c r="GD18" s="1"/>
      <c r="GE18" s="1"/>
      <c r="GF18" s="1"/>
      <c r="GG18" s="1"/>
      <c r="GH18" s="1"/>
      <c r="PY18" s="1"/>
      <c r="PZ18" s="1"/>
      <c r="QA18" s="1"/>
      <c r="QB18" s="1"/>
      <c r="QC18" s="1"/>
      <c r="QD18" s="1"/>
      <c r="ZU18" s="1"/>
      <c r="ZV18" s="1"/>
      <c r="ZW18" s="1"/>
      <c r="ZX18" s="1"/>
      <c r="ZY18" s="1"/>
      <c r="ZZ18" s="1"/>
      <c r="AJQ18" s="1"/>
      <c r="AJR18" s="1"/>
      <c r="AJS18" s="1"/>
      <c r="AJT18" s="1"/>
      <c r="AJU18" s="1"/>
      <c r="AJV18" s="1"/>
      <c r="ATM18" s="1"/>
      <c r="ATN18" s="1"/>
      <c r="ATO18" s="1"/>
      <c r="ATP18" s="1"/>
      <c r="ATQ18" s="1"/>
      <c r="ATR18" s="1"/>
      <c r="BDI18" s="1"/>
      <c r="BDJ18" s="1"/>
      <c r="BDK18" s="1"/>
      <c r="BDL18" s="1"/>
      <c r="BDM18" s="1"/>
      <c r="BDN18" s="1"/>
      <c r="BNE18" s="1"/>
      <c r="BNF18" s="1"/>
      <c r="BNG18" s="1"/>
      <c r="BNH18" s="1"/>
      <c r="BNI18" s="1"/>
      <c r="BNJ18" s="1"/>
      <c r="BXA18" s="1"/>
      <c r="BXB18" s="1"/>
      <c r="BXC18" s="1"/>
      <c r="BXD18" s="1"/>
      <c r="BXE18" s="1"/>
      <c r="BXF18" s="1"/>
      <c r="CGW18" s="1"/>
      <c r="CGX18" s="1"/>
      <c r="CGY18" s="1"/>
      <c r="CGZ18" s="1"/>
      <c r="CHA18" s="1"/>
      <c r="CHB18" s="1"/>
      <c r="CQS18" s="1"/>
      <c r="CQT18" s="1"/>
      <c r="CQU18" s="1"/>
      <c r="CQV18" s="1"/>
      <c r="CQW18" s="1"/>
      <c r="CQX18" s="1"/>
      <c r="DAO18" s="1"/>
      <c r="DAP18" s="1"/>
      <c r="DAQ18" s="1"/>
      <c r="DAR18" s="1"/>
      <c r="DAS18" s="1"/>
      <c r="DAT18" s="1"/>
      <c r="DKK18" s="1"/>
      <c r="DKL18" s="1"/>
      <c r="DKM18" s="1"/>
      <c r="DKN18" s="1"/>
      <c r="DKO18" s="1"/>
      <c r="DKP18" s="1"/>
      <c r="DUG18" s="1"/>
      <c r="DUH18" s="1"/>
      <c r="DUI18" s="1"/>
      <c r="DUJ18" s="1"/>
      <c r="DUK18" s="1"/>
      <c r="DUL18" s="1"/>
      <c r="EEC18" s="1"/>
      <c r="EED18" s="1"/>
      <c r="EEE18" s="1"/>
      <c r="EEF18" s="1"/>
      <c r="EEG18" s="1"/>
      <c r="EEH18" s="1"/>
      <c r="ENY18" s="1"/>
      <c r="ENZ18" s="1"/>
      <c r="EOA18" s="1"/>
      <c r="EOB18" s="1"/>
      <c r="EOC18" s="1"/>
      <c r="EOD18" s="1"/>
      <c r="EXU18" s="1"/>
      <c r="EXV18" s="1"/>
      <c r="EXW18" s="1"/>
      <c r="EXX18" s="1"/>
      <c r="EXY18" s="1"/>
      <c r="EXZ18" s="1"/>
      <c r="FHQ18" s="1"/>
      <c r="FHR18" s="1"/>
      <c r="FHS18" s="1"/>
      <c r="FHT18" s="1"/>
      <c r="FHU18" s="1"/>
      <c r="FHV18" s="1"/>
      <c r="FRM18" s="1"/>
      <c r="FRN18" s="1"/>
      <c r="FRO18" s="1"/>
      <c r="FRP18" s="1"/>
      <c r="FRQ18" s="1"/>
      <c r="FRR18" s="1"/>
      <c r="GBI18" s="1"/>
      <c r="GBJ18" s="1"/>
      <c r="GBK18" s="1"/>
      <c r="GBL18" s="1"/>
      <c r="GBM18" s="1"/>
      <c r="GBN18" s="1"/>
      <c r="GLE18" s="1"/>
      <c r="GLF18" s="1"/>
      <c r="GLG18" s="1"/>
      <c r="GLH18" s="1"/>
      <c r="GLI18" s="1"/>
      <c r="GLJ18" s="1"/>
      <c r="GVA18" s="1"/>
      <c r="GVB18" s="1"/>
      <c r="GVC18" s="1"/>
      <c r="GVD18" s="1"/>
      <c r="GVE18" s="1"/>
      <c r="GVF18" s="1"/>
      <c r="HEW18" s="1"/>
      <c r="HEX18" s="1"/>
      <c r="HEY18" s="1"/>
      <c r="HEZ18" s="1"/>
      <c r="HFA18" s="1"/>
      <c r="HFB18" s="1"/>
      <c r="HOS18" s="1"/>
      <c r="HOT18" s="1"/>
      <c r="HOU18" s="1"/>
      <c r="HOV18" s="1"/>
      <c r="HOW18" s="1"/>
      <c r="HOX18" s="1"/>
      <c r="HYO18" s="1"/>
      <c r="HYP18" s="1"/>
      <c r="HYQ18" s="1"/>
      <c r="HYR18" s="1"/>
      <c r="HYS18" s="1"/>
      <c r="HYT18" s="1"/>
      <c r="IIK18" s="1"/>
      <c r="IIL18" s="1"/>
      <c r="IIM18" s="1"/>
      <c r="IIN18" s="1"/>
      <c r="IIO18" s="1"/>
      <c r="IIP18" s="1"/>
      <c r="ISG18" s="1"/>
      <c r="ISH18" s="1"/>
      <c r="ISI18" s="1"/>
      <c r="ISJ18" s="1"/>
      <c r="ISK18" s="1"/>
      <c r="ISL18" s="1"/>
      <c r="JCC18" s="1"/>
      <c r="JCD18" s="1"/>
      <c r="JCE18" s="1"/>
      <c r="JCF18" s="1"/>
      <c r="JCG18" s="1"/>
      <c r="JCH18" s="1"/>
      <c r="JLY18" s="1"/>
      <c r="JLZ18" s="1"/>
      <c r="JMA18" s="1"/>
      <c r="JMB18" s="1"/>
      <c r="JMC18" s="1"/>
      <c r="JMD18" s="1"/>
      <c r="JVU18" s="1"/>
      <c r="JVV18" s="1"/>
      <c r="JVW18" s="1"/>
      <c r="JVX18" s="1"/>
      <c r="JVY18" s="1"/>
      <c r="JVZ18" s="1"/>
      <c r="KFQ18" s="1"/>
      <c r="KFR18" s="1"/>
      <c r="KFS18" s="1"/>
      <c r="KFT18" s="1"/>
      <c r="KFU18" s="1"/>
      <c r="KFV18" s="1"/>
      <c r="KPM18" s="1"/>
      <c r="KPN18" s="1"/>
      <c r="KPO18" s="1"/>
      <c r="KPP18" s="1"/>
      <c r="KPQ18" s="1"/>
      <c r="KPR18" s="1"/>
      <c r="KZI18" s="1"/>
      <c r="KZJ18" s="1"/>
      <c r="KZK18" s="1"/>
      <c r="KZL18" s="1"/>
      <c r="KZM18" s="1"/>
      <c r="KZN18" s="1"/>
      <c r="LJE18" s="1"/>
      <c r="LJF18" s="1"/>
      <c r="LJG18" s="1"/>
      <c r="LJH18" s="1"/>
      <c r="LJI18" s="1"/>
      <c r="LJJ18" s="1"/>
      <c r="LTA18" s="1"/>
      <c r="LTB18" s="1"/>
      <c r="LTC18" s="1"/>
      <c r="LTD18" s="1"/>
      <c r="LTE18" s="1"/>
      <c r="LTF18" s="1"/>
      <c r="MCW18" s="1"/>
      <c r="MCX18" s="1"/>
      <c r="MCY18" s="1"/>
      <c r="MCZ18" s="1"/>
      <c r="MDA18" s="1"/>
      <c r="MDB18" s="1"/>
      <c r="MMS18" s="1"/>
      <c r="MMT18" s="1"/>
      <c r="MMU18" s="1"/>
      <c r="MMV18" s="1"/>
      <c r="MMW18" s="1"/>
      <c r="MMX18" s="1"/>
      <c r="MWO18" s="1"/>
      <c r="MWP18" s="1"/>
      <c r="MWQ18" s="1"/>
      <c r="MWR18" s="1"/>
      <c r="MWS18" s="1"/>
      <c r="MWT18" s="1"/>
      <c r="NGK18" s="1"/>
      <c r="NGL18" s="1"/>
      <c r="NGM18" s="1"/>
      <c r="NGN18" s="1"/>
      <c r="NGO18" s="1"/>
      <c r="NGP18" s="1"/>
      <c r="NQG18" s="1"/>
      <c r="NQH18" s="1"/>
      <c r="NQI18" s="1"/>
      <c r="NQJ18" s="1"/>
      <c r="NQK18" s="1"/>
      <c r="NQL18" s="1"/>
      <c r="OAC18" s="1"/>
      <c r="OAD18" s="1"/>
      <c r="OAE18" s="1"/>
      <c r="OAF18" s="1"/>
      <c r="OAG18" s="1"/>
      <c r="OAH18" s="1"/>
      <c r="OJY18" s="1"/>
      <c r="OJZ18" s="1"/>
      <c r="OKA18" s="1"/>
      <c r="OKB18" s="1"/>
      <c r="OKC18" s="1"/>
      <c r="OKD18" s="1"/>
      <c r="OTU18" s="1"/>
      <c r="OTV18" s="1"/>
      <c r="OTW18" s="1"/>
      <c r="OTX18" s="1"/>
      <c r="OTY18" s="1"/>
      <c r="OTZ18" s="1"/>
      <c r="PDQ18" s="1"/>
      <c r="PDR18" s="1"/>
      <c r="PDS18" s="1"/>
      <c r="PDT18" s="1"/>
      <c r="PDU18" s="1"/>
      <c r="PDV18" s="1"/>
      <c r="PNM18" s="1"/>
      <c r="PNN18" s="1"/>
      <c r="PNO18" s="1"/>
      <c r="PNP18" s="1"/>
      <c r="PNQ18" s="1"/>
      <c r="PNR18" s="1"/>
      <c r="PXI18" s="1"/>
      <c r="PXJ18" s="1"/>
      <c r="PXK18" s="1"/>
      <c r="PXL18" s="1"/>
      <c r="PXM18" s="1"/>
      <c r="PXN18" s="1"/>
      <c r="QHE18" s="1"/>
      <c r="QHF18" s="1"/>
      <c r="QHG18" s="1"/>
      <c r="QHH18" s="1"/>
      <c r="QHI18" s="1"/>
      <c r="QHJ18" s="1"/>
      <c r="QRA18" s="1"/>
      <c r="QRB18" s="1"/>
      <c r="QRC18" s="1"/>
      <c r="QRD18" s="1"/>
      <c r="QRE18" s="1"/>
      <c r="QRF18" s="1"/>
      <c r="RAW18" s="1"/>
      <c r="RAX18" s="1"/>
      <c r="RAY18" s="1"/>
      <c r="RAZ18" s="1"/>
      <c r="RBA18" s="1"/>
      <c r="RBB18" s="1"/>
      <c r="RKS18" s="1"/>
      <c r="RKT18" s="1"/>
      <c r="RKU18" s="1"/>
      <c r="RKV18" s="1"/>
      <c r="RKW18" s="1"/>
      <c r="RKX18" s="1"/>
      <c r="RUO18" s="1"/>
      <c r="RUP18" s="1"/>
      <c r="RUQ18" s="1"/>
      <c r="RUR18" s="1"/>
      <c r="RUS18" s="1"/>
      <c r="RUT18" s="1"/>
      <c r="SEK18" s="1"/>
      <c r="SEL18" s="1"/>
      <c r="SEM18" s="1"/>
      <c r="SEN18" s="1"/>
      <c r="SEO18" s="1"/>
      <c r="SEP18" s="1"/>
      <c r="SOG18" s="1"/>
      <c r="SOH18" s="1"/>
      <c r="SOI18" s="1"/>
      <c r="SOJ18" s="1"/>
      <c r="SOK18" s="1"/>
      <c r="SOL18" s="1"/>
      <c r="SYC18" s="1"/>
      <c r="SYD18" s="1"/>
      <c r="SYE18" s="1"/>
      <c r="SYF18" s="1"/>
      <c r="SYG18" s="1"/>
      <c r="SYH18" s="1"/>
      <c r="THY18" s="1"/>
      <c r="THZ18" s="1"/>
      <c r="TIA18" s="1"/>
      <c r="TIB18" s="1"/>
      <c r="TIC18" s="1"/>
      <c r="TID18" s="1"/>
      <c r="TRU18" s="1"/>
      <c r="TRV18" s="1"/>
      <c r="TRW18" s="1"/>
      <c r="TRX18" s="1"/>
      <c r="TRY18" s="1"/>
      <c r="TRZ18" s="1"/>
      <c r="UBQ18" s="1"/>
      <c r="UBR18" s="1"/>
      <c r="UBS18" s="1"/>
      <c r="UBT18" s="1"/>
      <c r="UBU18" s="1"/>
      <c r="UBV18" s="1"/>
      <c r="ULM18" s="1"/>
      <c r="ULN18" s="1"/>
      <c r="ULO18" s="1"/>
      <c r="ULP18" s="1"/>
      <c r="ULQ18" s="1"/>
      <c r="ULR18" s="1"/>
      <c r="UVI18" s="1"/>
      <c r="UVJ18" s="1"/>
      <c r="UVK18" s="1"/>
      <c r="UVL18" s="1"/>
      <c r="UVM18" s="1"/>
      <c r="UVN18" s="1"/>
      <c r="VFE18" s="1"/>
      <c r="VFF18" s="1"/>
      <c r="VFG18" s="1"/>
      <c r="VFH18" s="1"/>
      <c r="VFI18" s="1"/>
      <c r="VFJ18" s="1"/>
      <c r="VPA18" s="1"/>
      <c r="VPB18" s="1"/>
      <c r="VPC18" s="1"/>
      <c r="VPD18" s="1"/>
      <c r="VPE18" s="1"/>
      <c r="VPF18" s="1"/>
      <c r="VYW18" s="1"/>
      <c r="VYX18" s="1"/>
      <c r="VYY18" s="1"/>
      <c r="VYZ18" s="1"/>
      <c r="VZA18" s="1"/>
      <c r="VZB18" s="1"/>
      <c r="WIS18" s="1"/>
      <c r="WIT18" s="1"/>
      <c r="WIU18" s="1"/>
      <c r="WIV18" s="1"/>
      <c r="WIW18" s="1"/>
      <c r="WIX18" s="1"/>
      <c r="WSO18" s="1"/>
      <c r="WSP18" s="1"/>
      <c r="WSQ18" s="1"/>
      <c r="WSR18" s="1"/>
      <c r="WSS18" s="1"/>
      <c r="WST18" s="1"/>
    </row>
    <row r="19" spans="1:958 1209:1982 2233:3006 3257:4030 4281:5054 5305:6078 6329:7102 7353:8126 8377:9150 9401:10174 10425:11198 11449:12222 12473:13246 13497:14270 14521:15294 15545:16062" s="64" customFormat="1" ht="15.75" x14ac:dyDescent="0.25">
      <c r="A19" s="79" t="s">
        <v>478</v>
      </c>
      <c r="B19" s="76" t="s">
        <v>507</v>
      </c>
      <c r="C19" s="62"/>
      <c r="D19" s="77">
        <f>SUM(D20:D20)</f>
        <v>1422100</v>
      </c>
      <c r="E19" s="77">
        <f>SUM(E20:E20)</f>
        <v>1560400</v>
      </c>
      <c r="F19" s="77">
        <f>SUM(F20:F20)</f>
        <v>1560400</v>
      </c>
      <c r="GC19" s="66"/>
      <c r="GD19" s="66"/>
      <c r="GE19" s="66"/>
      <c r="GF19" s="66"/>
      <c r="GG19" s="66"/>
      <c r="GH19" s="66"/>
      <c r="PY19" s="66"/>
      <c r="PZ19" s="66"/>
      <c r="QA19" s="66"/>
      <c r="QB19" s="66"/>
      <c r="QC19" s="66"/>
      <c r="QD19" s="66"/>
      <c r="ZU19" s="66"/>
      <c r="ZV19" s="66"/>
      <c r="ZW19" s="66"/>
      <c r="ZX19" s="66"/>
      <c r="ZY19" s="66"/>
      <c r="ZZ19" s="66"/>
      <c r="AJQ19" s="66"/>
      <c r="AJR19" s="66"/>
      <c r="AJS19" s="66"/>
      <c r="AJT19" s="66"/>
      <c r="AJU19" s="66"/>
      <c r="AJV19" s="66"/>
      <c r="ATM19" s="66"/>
      <c r="ATN19" s="66"/>
      <c r="ATO19" s="66"/>
      <c r="ATP19" s="66"/>
      <c r="ATQ19" s="66"/>
      <c r="ATR19" s="66"/>
      <c r="BDI19" s="66"/>
      <c r="BDJ19" s="66"/>
      <c r="BDK19" s="66"/>
      <c r="BDL19" s="66"/>
      <c r="BDM19" s="66"/>
      <c r="BDN19" s="66"/>
      <c r="BNE19" s="66"/>
      <c r="BNF19" s="66"/>
      <c r="BNG19" s="66"/>
      <c r="BNH19" s="66"/>
      <c r="BNI19" s="66"/>
      <c r="BNJ19" s="66"/>
      <c r="BXA19" s="66"/>
      <c r="BXB19" s="66"/>
      <c r="BXC19" s="66"/>
      <c r="BXD19" s="66"/>
      <c r="BXE19" s="66"/>
      <c r="BXF19" s="66"/>
      <c r="CGW19" s="66"/>
      <c r="CGX19" s="66"/>
      <c r="CGY19" s="66"/>
      <c r="CGZ19" s="66"/>
      <c r="CHA19" s="66"/>
      <c r="CHB19" s="66"/>
      <c r="CQS19" s="66"/>
      <c r="CQT19" s="66"/>
      <c r="CQU19" s="66"/>
      <c r="CQV19" s="66"/>
      <c r="CQW19" s="66"/>
      <c r="CQX19" s="66"/>
      <c r="DAO19" s="66"/>
      <c r="DAP19" s="66"/>
      <c r="DAQ19" s="66"/>
      <c r="DAR19" s="66"/>
      <c r="DAS19" s="66"/>
      <c r="DAT19" s="66"/>
      <c r="DKK19" s="66"/>
      <c r="DKL19" s="66"/>
      <c r="DKM19" s="66"/>
      <c r="DKN19" s="66"/>
      <c r="DKO19" s="66"/>
      <c r="DKP19" s="66"/>
      <c r="DUG19" s="66"/>
      <c r="DUH19" s="66"/>
      <c r="DUI19" s="66"/>
      <c r="DUJ19" s="66"/>
      <c r="DUK19" s="66"/>
      <c r="DUL19" s="66"/>
      <c r="EEC19" s="66"/>
      <c r="EED19" s="66"/>
      <c r="EEE19" s="66"/>
      <c r="EEF19" s="66"/>
      <c r="EEG19" s="66"/>
      <c r="EEH19" s="66"/>
      <c r="ENY19" s="66"/>
      <c r="ENZ19" s="66"/>
      <c r="EOA19" s="66"/>
      <c r="EOB19" s="66"/>
      <c r="EOC19" s="66"/>
      <c r="EOD19" s="66"/>
      <c r="EXU19" s="66"/>
      <c r="EXV19" s="66"/>
      <c r="EXW19" s="66"/>
      <c r="EXX19" s="66"/>
      <c r="EXY19" s="66"/>
      <c r="EXZ19" s="66"/>
      <c r="FHQ19" s="66"/>
      <c r="FHR19" s="66"/>
      <c r="FHS19" s="66"/>
      <c r="FHT19" s="66"/>
      <c r="FHU19" s="66"/>
      <c r="FHV19" s="66"/>
      <c r="FRM19" s="66"/>
      <c r="FRN19" s="66"/>
      <c r="FRO19" s="66"/>
      <c r="FRP19" s="66"/>
      <c r="FRQ19" s="66"/>
      <c r="FRR19" s="66"/>
      <c r="GBI19" s="66"/>
      <c r="GBJ19" s="66"/>
      <c r="GBK19" s="66"/>
      <c r="GBL19" s="66"/>
      <c r="GBM19" s="66"/>
      <c r="GBN19" s="66"/>
      <c r="GLE19" s="66"/>
      <c r="GLF19" s="66"/>
      <c r="GLG19" s="66"/>
      <c r="GLH19" s="66"/>
      <c r="GLI19" s="66"/>
      <c r="GLJ19" s="66"/>
      <c r="GVA19" s="66"/>
      <c r="GVB19" s="66"/>
      <c r="GVC19" s="66"/>
      <c r="GVD19" s="66"/>
      <c r="GVE19" s="66"/>
      <c r="GVF19" s="66"/>
      <c r="HEW19" s="66"/>
      <c r="HEX19" s="66"/>
      <c r="HEY19" s="66"/>
      <c r="HEZ19" s="66"/>
      <c r="HFA19" s="66"/>
      <c r="HFB19" s="66"/>
      <c r="HOS19" s="66"/>
      <c r="HOT19" s="66"/>
      <c r="HOU19" s="66"/>
      <c r="HOV19" s="66"/>
      <c r="HOW19" s="66"/>
      <c r="HOX19" s="66"/>
      <c r="HYO19" s="66"/>
      <c r="HYP19" s="66"/>
      <c r="HYQ19" s="66"/>
      <c r="HYR19" s="66"/>
      <c r="HYS19" s="66"/>
      <c r="HYT19" s="66"/>
      <c r="IIK19" s="66"/>
      <c r="IIL19" s="66"/>
      <c r="IIM19" s="66"/>
      <c r="IIN19" s="66"/>
      <c r="IIO19" s="66"/>
      <c r="IIP19" s="66"/>
      <c r="ISG19" s="66"/>
      <c r="ISH19" s="66"/>
      <c r="ISI19" s="66"/>
      <c r="ISJ19" s="66"/>
      <c r="ISK19" s="66"/>
      <c r="ISL19" s="66"/>
      <c r="JCC19" s="66"/>
      <c r="JCD19" s="66"/>
      <c r="JCE19" s="66"/>
      <c r="JCF19" s="66"/>
      <c r="JCG19" s="66"/>
      <c r="JCH19" s="66"/>
      <c r="JLY19" s="66"/>
      <c r="JLZ19" s="66"/>
      <c r="JMA19" s="66"/>
      <c r="JMB19" s="66"/>
      <c r="JMC19" s="66"/>
      <c r="JMD19" s="66"/>
      <c r="JVU19" s="66"/>
      <c r="JVV19" s="66"/>
      <c r="JVW19" s="66"/>
      <c r="JVX19" s="66"/>
      <c r="JVY19" s="66"/>
      <c r="JVZ19" s="66"/>
      <c r="KFQ19" s="66"/>
      <c r="KFR19" s="66"/>
      <c r="KFS19" s="66"/>
      <c r="KFT19" s="66"/>
      <c r="KFU19" s="66"/>
      <c r="KFV19" s="66"/>
      <c r="KPM19" s="66"/>
      <c r="KPN19" s="66"/>
      <c r="KPO19" s="66"/>
      <c r="KPP19" s="66"/>
      <c r="KPQ19" s="66"/>
      <c r="KPR19" s="66"/>
      <c r="KZI19" s="66"/>
      <c r="KZJ19" s="66"/>
      <c r="KZK19" s="66"/>
      <c r="KZL19" s="66"/>
      <c r="KZM19" s="66"/>
      <c r="KZN19" s="66"/>
      <c r="LJE19" s="66"/>
      <c r="LJF19" s="66"/>
      <c r="LJG19" s="66"/>
      <c r="LJH19" s="66"/>
      <c r="LJI19" s="66"/>
      <c r="LJJ19" s="66"/>
      <c r="LTA19" s="66"/>
      <c r="LTB19" s="66"/>
      <c r="LTC19" s="66"/>
      <c r="LTD19" s="66"/>
      <c r="LTE19" s="66"/>
      <c r="LTF19" s="66"/>
      <c r="MCW19" s="66"/>
      <c r="MCX19" s="66"/>
      <c r="MCY19" s="66"/>
      <c r="MCZ19" s="66"/>
      <c r="MDA19" s="66"/>
      <c r="MDB19" s="66"/>
      <c r="MMS19" s="66"/>
      <c r="MMT19" s="66"/>
      <c r="MMU19" s="66"/>
      <c r="MMV19" s="66"/>
      <c r="MMW19" s="66"/>
      <c r="MMX19" s="66"/>
      <c r="MWO19" s="66"/>
      <c r="MWP19" s="66"/>
      <c r="MWQ19" s="66"/>
      <c r="MWR19" s="66"/>
      <c r="MWS19" s="66"/>
      <c r="MWT19" s="66"/>
      <c r="NGK19" s="66"/>
      <c r="NGL19" s="66"/>
      <c r="NGM19" s="66"/>
      <c r="NGN19" s="66"/>
      <c r="NGO19" s="66"/>
      <c r="NGP19" s="66"/>
      <c r="NQG19" s="66"/>
      <c r="NQH19" s="66"/>
      <c r="NQI19" s="66"/>
      <c r="NQJ19" s="66"/>
      <c r="NQK19" s="66"/>
      <c r="NQL19" s="66"/>
      <c r="OAC19" s="66"/>
      <c r="OAD19" s="66"/>
      <c r="OAE19" s="66"/>
      <c r="OAF19" s="66"/>
      <c r="OAG19" s="66"/>
      <c r="OAH19" s="66"/>
      <c r="OJY19" s="66"/>
      <c r="OJZ19" s="66"/>
      <c r="OKA19" s="66"/>
      <c r="OKB19" s="66"/>
      <c r="OKC19" s="66"/>
      <c r="OKD19" s="66"/>
      <c r="OTU19" s="66"/>
      <c r="OTV19" s="66"/>
      <c r="OTW19" s="66"/>
      <c r="OTX19" s="66"/>
      <c r="OTY19" s="66"/>
      <c r="OTZ19" s="66"/>
      <c r="PDQ19" s="66"/>
      <c r="PDR19" s="66"/>
      <c r="PDS19" s="66"/>
      <c r="PDT19" s="66"/>
      <c r="PDU19" s="66"/>
      <c r="PDV19" s="66"/>
      <c r="PNM19" s="66"/>
      <c r="PNN19" s="66"/>
      <c r="PNO19" s="66"/>
      <c r="PNP19" s="66"/>
      <c r="PNQ19" s="66"/>
      <c r="PNR19" s="66"/>
      <c r="PXI19" s="66"/>
      <c r="PXJ19" s="66"/>
      <c r="PXK19" s="66"/>
      <c r="PXL19" s="66"/>
      <c r="PXM19" s="66"/>
      <c r="PXN19" s="66"/>
      <c r="QHE19" s="66"/>
      <c r="QHF19" s="66"/>
      <c r="QHG19" s="66"/>
      <c r="QHH19" s="66"/>
      <c r="QHI19" s="66"/>
      <c r="QHJ19" s="66"/>
      <c r="QRA19" s="66"/>
      <c r="QRB19" s="66"/>
      <c r="QRC19" s="66"/>
      <c r="QRD19" s="66"/>
      <c r="QRE19" s="66"/>
      <c r="QRF19" s="66"/>
      <c r="RAW19" s="66"/>
      <c r="RAX19" s="66"/>
      <c r="RAY19" s="66"/>
      <c r="RAZ19" s="66"/>
      <c r="RBA19" s="66"/>
      <c r="RBB19" s="66"/>
      <c r="RKS19" s="66"/>
      <c r="RKT19" s="66"/>
      <c r="RKU19" s="66"/>
      <c r="RKV19" s="66"/>
      <c r="RKW19" s="66"/>
      <c r="RKX19" s="66"/>
      <c r="RUO19" s="66"/>
      <c r="RUP19" s="66"/>
      <c r="RUQ19" s="66"/>
      <c r="RUR19" s="66"/>
      <c r="RUS19" s="66"/>
      <c r="RUT19" s="66"/>
      <c r="SEK19" s="66"/>
      <c r="SEL19" s="66"/>
      <c r="SEM19" s="66"/>
      <c r="SEN19" s="66"/>
      <c r="SEO19" s="66"/>
      <c r="SEP19" s="66"/>
      <c r="SOG19" s="66"/>
      <c r="SOH19" s="66"/>
      <c r="SOI19" s="66"/>
      <c r="SOJ19" s="66"/>
      <c r="SOK19" s="66"/>
      <c r="SOL19" s="66"/>
      <c r="SYC19" s="66"/>
      <c r="SYD19" s="66"/>
      <c r="SYE19" s="66"/>
      <c r="SYF19" s="66"/>
      <c r="SYG19" s="66"/>
      <c r="SYH19" s="66"/>
      <c r="THY19" s="66"/>
      <c r="THZ19" s="66"/>
      <c r="TIA19" s="66"/>
      <c r="TIB19" s="66"/>
      <c r="TIC19" s="66"/>
      <c r="TID19" s="66"/>
      <c r="TRU19" s="66"/>
      <c r="TRV19" s="66"/>
      <c r="TRW19" s="66"/>
      <c r="TRX19" s="66"/>
      <c r="TRY19" s="66"/>
      <c r="TRZ19" s="66"/>
      <c r="UBQ19" s="66"/>
      <c r="UBR19" s="66"/>
      <c r="UBS19" s="66"/>
      <c r="UBT19" s="66"/>
      <c r="UBU19" s="66"/>
      <c r="UBV19" s="66"/>
      <c r="ULM19" s="66"/>
      <c r="ULN19" s="66"/>
      <c r="ULO19" s="66"/>
      <c r="ULP19" s="66"/>
      <c r="ULQ19" s="66"/>
      <c r="ULR19" s="66"/>
      <c r="UVI19" s="66"/>
      <c r="UVJ19" s="66"/>
      <c r="UVK19" s="66"/>
      <c r="UVL19" s="66"/>
      <c r="UVM19" s="66"/>
      <c r="UVN19" s="66"/>
      <c r="VFE19" s="66"/>
      <c r="VFF19" s="66"/>
      <c r="VFG19" s="66"/>
      <c r="VFH19" s="66"/>
      <c r="VFI19" s="66"/>
      <c r="VFJ19" s="66"/>
      <c r="VPA19" s="66"/>
      <c r="VPB19" s="66"/>
      <c r="VPC19" s="66"/>
      <c r="VPD19" s="66"/>
      <c r="VPE19" s="66"/>
      <c r="VPF19" s="66"/>
      <c r="VYW19" s="66"/>
      <c r="VYX19" s="66"/>
      <c r="VYY19" s="66"/>
      <c r="VYZ19" s="66"/>
      <c r="VZA19" s="66"/>
      <c r="VZB19" s="66"/>
      <c r="WIS19" s="66"/>
      <c r="WIT19" s="66"/>
      <c r="WIU19" s="66"/>
      <c r="WIV19" s="66"/>
      <c r="WIW19" s="66"/>
      <c r="WIX19" s="66"/>
      <c r="WSO19" s="66"/>
      <c r="WSP19" s="66"/>
      <c r="WSQ19" s="66"/>
      <c r="WSR19" s="66"/>
      <c r="WSS19" s="66"/>
      <c r="WST19" s="66"/>
    </row>
    <row r="20" spans="1:958 1209:1982 2233:3006 3257:4030 4281:5054 5305:6078 6329:7102 7353:8126 8377:9150 9401:10174 10425:11198 11449:12222 12473:13246 13497:14270 14521:15294 15545:16062" ht="30.75" x14ac:dyDescent="0.25">
      <c r="A20" s="72" t="s">
        <v>170</v>
      </c>
      <c r="B20" s="71" t="s">
        <v>507</v>
      </c>
      <c r="C20" s="59">
        <v>200</v>
      </c>
      <c r="D20" s="310">
        <f>'Приложение 4'!F212</f>
        <v>1422100</v>
      </c>
      <c r="E20" s="310">
        <f>'Приложение 4'!G212</f>
        <v>1560400</v>
      </c>
      <c r="F20" s="310">
        <f>'Приложение 4'!H212</f>
        <v>1560400</v>
      </c>
    </row>
    <row r="21" spans="1:958 1209:1982 2233:3006 3257:4030 4281:5054 5305:6078 6329:7102 7353:8126 8377:9150 9401:10174 10425:11198 11449:12222 12473:13246 13497:14270 14521:15294 15545:16062" ht="15.75" x14ac:dyDescent="0.25">
      <c r="A21" s="78" t="s">
        <v>474</v>
      </c>
      <c r="B21" s="76" t="s">
        <v>506</v>
      </c>
      <c r="C21" s="62"/>
      <c r="D21" s="77">
        <f>SUBTOTAL(9,D22:D25)</f>
        <v>241993592.32999998</v>
      </c>
      <c r="E21" s="77">
        <f>SUBTOTAL(9,E22:E25)</f>
        <v>245557200</v>
      </c>
      <c r="F21" s="77">
        <f>SUBTOTAL(9,F22:F25)</f>
        <v>245557200</v>
      </c>
    </row>
    <row r="22" spans="1:958 1209:1982 2233:3006 3257:4030 4281:5054 5305:6078 6329:7102 7353:8126 8377:9150 9401:10174 10425:11198 11449:12222 12473:13246 13497:14270 14521:15294 15545:16062" ht="60.75" x14ac:dyDescent="0.25">
      <c r="A22" s="70" t="s">
        <v>169</v>
      </c>
      <c r="B22" s="71" t="s">
        <v>506</v>
      </c>
      <c r="C22" s="59">
        <v>100</v>
      </c>
      <c r="D22" s="310">
        <f>'Приложение 4'!F164+'Приложение 4'!F214+'Приложение 4'!F227</f>
        <v>211919456.05000001</v>
      </c>
      <c r="E22" s="310">
        <f>'Приложение 4'!G164+'Приложение 4'!G214+'Приложение 4'!G227</f>
        <v>214724700</v>
      </c>
      <c r="F22" s="310">
        <f>'Приложение 4'!H164+'Приложение 4'!H214+'Приложение 4'!H227</f>
        <v>214724700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958 1209:1982 2233:3006 3257:4030 4281:5054 5305:6078 6329:7102 7353:8126 8377:9150 9401:10174 10425:11198 11449:12222 12473:13246 13497:14270 14521:15294 15545:16062" ht="30.75" x14ac:dyDescent="0.25">
      <c r="A23" s="72" t="s">
        <v>170</v>
      </c>
      <c r="B23" s="71" t="s">
        <v>506</v>
      </c>
      <c r="C23" s="59">
        <v>200</v>
      </c>
      <c r="D23" s="310">
        <f>'Приложение 4'!F165+'Приложение 4'!F215+'Приложение 4'!F228</f>
        <v>28377353.329999998</v>
      </c>
      <c r="E23" s="310">
        <f>'Приложение 4'!G165+'Приложение 4'!G215+'Приложение 4'!G228</f>
        <v>29854800</v>
      </c>
      <c r="F23" s="310">
        <f>'Приложение 4'!H165+'Приложение 4'!H215+'Приложение 4'!H228</f>
        <v>29854800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958 1209:1982 2233:3006 3257:4030 4281:5054 5305:6078 6329:7102 7353:8126 8377:9150 9401:10174 10425:11198 11449:12222 12473:13246 13497:14270 14521:15294 15545:16062" ht="15.75" x14ac:dyDescent="0.25">
      <c r="A24" s="70" t="s">
        <v>171</v>
      </c>
      <c r="B24" s="71" t="s">
        <v>506</v>
      </c>
      <c r="C24" s="59">
        <v>300</v>
      </c>
      <c r="D24" s="310">
        <f>'Приложение 4'!F229</f>
        <v>799082.95000000007</v>
      </c>
      <c r="E24" s="310">
        <f>'Приложение 4'!G229</f>
        <v>0</v>
      </c>
      <c r="F24" s="310">
        <f>'Приложение 4'!H229</f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958 1209:1982 2233:3006 3257:4030 4281:5054 5305:6078 6329:7102 7353:8126 8377:9150 9401:10174 10425:11198 11449:12222 12473:13246 13497:14270 14521:15294 15545:16062" ht="15.75" x14ac:dyDescent="0.25">
      <c r="A25" s="70" t="s">
        <v>172</v>
      </c>
      <c r="B25" s="71" t="s">
        <v>506</v>
      </c>
      <c r="C25" s="59">
        <v>800</v>
      </c>
      <c r="D25" s="310">
        <f>'Приложение 4'!F166+'Приложение 4'!F216+'Приложение 4'!F230</f>
        <v>897700</v>
      </c>
      <c r="E25" s="310">
        <f>'Приложение 4'!G166+'Приложение 4'!G216+'Приложение 4'!G230</f>
        <v>977700</v>
      </c>
      <c r="F25" s="310">
        <f>'Приложение 4'!H166+'Приложение 4'!H216+'Приложение 4'!H230</f>
        <v>977700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958 1209:1982 2233:3006 3257:4030 4281:5054 5305:6078 6329:7102 7353:8126 8377:9150 9401:10174 10425:11198 11449:12222 12473:13246 13497:14270 14521:15294 15545:16062" ht="47.25" x14ac:dyDescent="0.25">
      <c r="A26" s="67" t="s">
        <v>493</v>
      </c>
      <c r="B26" s="68" t="s">
        <v>494</v>
      </c>
      <c r="C26" s="69"/>
      <c r="D26" s="284">
        <f>D27+D32</f>
        <v>41790488.32</v>
      </c>
      <c r="E26" s="284">
        <f>E27+E32</f>
        <v>39833904.340000004</v>
      </c>
      <c r="F26" s="284">
        <f>F27+F32</f>
        <v>40491904.340000004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958 1209:1982 2233:3006 3257:4030 4281:5054 5305:6078 6329:7102 7353:8126 8377:9150 9401:10174 10425:11198 11449:12222 12473:13246 13497:14270 14521:15294 15545:16062" s="64" customFormat="1" ht="15.75" x14ac:dyDescent="0.25">
      <c r="A27" s="79" t="s">
        <v>478</v>
      </c>
      <c r="B27" s="76" t="s">
        <v>495</v>
      </c>
      <c r="C27" s="62"/>
      <c r="D27" s="259">
        <f>SUM(D28:D31)</f>
        <v>24326559.09</v>
      </c>
      <c r="E27" s="259">
        <f>SUM(E28:E31)</f>
        <v>23292536.390000001</v>
      </c>
      <c r="F27" s="259">
        <f>SUM(F28:F31)</f>
        <v>23292536.390000001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GC27" s="66"/>
      <c r="GD27" s="66"/>
      <c r="GE27" s="66"/>
      <c r="GF27" s="66"/>
      <c r="GG27" s="66"/>
      <c r="GH27" s="66"/>
      <c r="PY27" s="66"/>
      <c r="PZ27" s="66"/>
      <c r="QA27" s="66"/>
      <c r="QB27" s="66"/>
      <c r="QC27" s="66"/>
      <c r="QD27" s="66"/>
      <c r="ZU27" s="66"/>
      <c r="ZV27" s="66"/>
      <c r="ZW27" s="66"/>
      <c r="ZX27" s="66"/>
      <c r="ZY27" s="66"/>
      <c r="ZZ27" s="66"/>
      <c r="AJQ27" s="66"/>
      <c r="AJR27" s="66"/>
      <c r="AJS27" s="66"/>
      <c r="AJT27" s="66"/>
      <c r="AJU27" s="66"/>
      <c r="AJV27" s="66"/>
      <c r="ATM27" s="66"/>
      <c r="ATN27" s="66"/>
      <c r="ATO27" s="66"/>
      <c r="ATP27" s="66"/>
      <c r="ATQ27" s="66"/>
      <c r="ATR27" s="66"/>
      <c r="BDI27" s="66"/>
      <c r="BDJ27" s="66"/>
      <c r="BDK27" s="66"/>
      <c r="BDL27" s="66"/>
      <c r="BDM27" s="66"/>
      <c r="BDN27" s="66"/>
      <c r="BNE27" s="66"/>
      <c r="BNF27" s="66"/>
      <c r="BNG27" s="66"/>
      <c r="BNH27" s="66"/>
      <c r="BNI27" s="66"/>
      <c r="BNJ27" s="66"/>
      <c r="BXA27" s="66"/>
      <c r="BXB27" s="66"/>
      <c r="BXC27" s="66"/>
      <c r="BXD27" s="66"/>
      <c r="BXE27" s="66"/>
      <c r="BXF27" s="66"/>
      <c r="CGW27" s="66"/>
      <c r="CGX27" s="66"/>
      <c r="CGY27" s="66"/>
      <c r="CGZ27" s="66"/>
      <c r="CHA27" s="66"/>
      <c r="CHB27" s="66"/>
      <c r="CQS27" s="66"/>
      <c r="CQT27" s="66"/>
      <c r="CQU27" s="66"/>
      <c r="CQV27" s="66"/>
      <c r="CQW27" s="66"/>
      <c r="CQX27" s="66"/>
      <c r="DAO27" s="66"/>
      <c r="DAP27" s="66"/>
      <c r="DAQ27" s="66"/>
      <c r="DAR27" s="66"/>
      <c r="DAS27" s="66"/>
      <c r="DAT27" s="66"/>
      <c r="DKK27" s="66"/>
      <c r="DKL27" s="66"/>
      <c r="DKM27" s="66"/>
      <c r="DKN27" s="66"/>
      <c r="DKO27" s="66"/>
      <c r="DKP27" s="66"/>
      <c r="DUG27" s="66"/>
      <c r="DUH27" s="66"/>
      <c r="DUI27" s="66"/>
      <c r="DUJ27" s="66"/>
      <c r="DUK27" s="66"/>
      <c r="DUL27" s="66"/>
      <c r="EEC27" s="66"/>
      <c r="EED27" s="66"/>
      <c r="EEE27" s="66"/>
      <c r="EEF27" s="66"/>
      <c r="EEG27" s="66"/>
      <c r="EEH27" s="66"/>
      <c r="ENY27" s="66"/>
      <c r="ENZ27" s="66"/>
      <c r="EOA27" s="66"/>
      <c r="EOB27" s="66"/>
      <c r="EOC27" s="66"/>
      <c r="EOD27" s="66"/>
      <c r="EXU27" s="66"/>
      <c r="EXV27" s="66"/>
      <c r="EXW27" s="66"/>
      <c r="EXX27" s="66"/>
      <c r="EXY27" s="66"/>
      <c r="EXZ27" s="66"/>
      <c r="FHQ27" s="66"/>
      <c r="FHR27" s="66"/>
      <c r="FHS27" s="66"/>
      <c r="FHT27" s="66"/>
      <c r="FHU27" s="66"/>
      <c r="FHV27" s="66"/>
      <c r="FRM27" s="66"/>
      <c r="FRN27" s="66"/>
      <c r="FRO27" s="66"/>
      <c r="FRP27" s="66"/>
      <c r="FRQ27" s="66"/>
      <c r="FRR27" s="66"/>
      <c r="GBI27" s="66"/>
      <c r="GBJ27" s="66"/>
      <c r="GBK27" s="66"/>
      <c r="GBL27" s="66"/>
      <c r="GBM27" s="66"/>
      <c r="GBN27" s="66"/>
      <c r="GLE27" s="66"/>
      <c r="GLF27" s="66"/>
      <c r="GLG27" s="66"/>
      <c r="GLH27" s="66"/>
      <c r="GLI27" s="66"/>
      <c r="GLJ27" s="66"/>
      <c r="GVA27" s="66"/>
      <c r="GVB27" s="66"/>
      <c r="GVC27" s="66"/>
      <c r="GVD27" s="66"/>
      <c r="GVE27" s="66"/>
      <c r="GVF27" s="66"/>
      <c r="HEW27" s="66"/>
      <c r="HEX27" s="66"/>
      <c r="HEY27" s="66"/>
      <c r="HEZ27" s="66"/>
      <c r="HFA27" s="66"/>
      <c r="HFB27" s="66"/>
      <c r="HOS27" s="66"/>
      <c r="HOT27" s="66"/>
      <c r="HOU27" s="66"/>
      <c r="HOV27" s="66"/>
      <c r="HOW27" s="66"/>
      <c r="HOX27" s="66"/>
      <c r="HYO27" s="66"/>
      <c r="HYP27" s="66"/>
      <c r="HYQ27" s="66"/>
      <c r="HYR27" s="66"/>
      <c r="HYS27" s="66"/>
      <c r="HYT27" s="66"/>
      <c r="IIK27" s="66"/>
      <c r="IIL27" s="66"/>
      <c r="IIM27" s="66"/>
      <c r="IIN27" s="66"/>
      <c r="IIO27" s="66"/>
      <c r="IIP27" s="66"/>
      <c r="ISG27" s="66"/>
      <c r="ISH27" s="66"/>
      <c r="ISI27" s="66"/>
      <c r="ISJ27" s="66"/>
      <c r="ISK27" s="66"/>
      <c r="ISL27" s="66"/>
      <c r="JCC27" s="66"/>
      <c r="JCD27" s="66"/>
      <c r="JCE27" s="66"/>
      <c r="JCF27" s="66"/>
      <c r="JCG27" s="66"/>
      <c r="JCH27" s="66"/>
      <c r="JLY27" s="66"/>
      <c r="JLZ27" s="66"/>
      <c r="JMA27" s="66"/>
      <c r="JMB27" s="66"/>
      <c r="JMC27" s="66"/>
      <c r="JMD27" s="66"/>
      <c r="JVU27" s="66"/>
      <c r="JVV27" s="66"/>
      <c r="JVW27" s="66"/>
      <c r="JVX27" s="66"/>
      <c r="JVY27" s="66"/>
      <c r="JVZ27" s="66"/>
      <c r="KFQ27" s="66"/>
      <c r="KFR27" s="66"/>
      <c r="KFS27" s="66"/>
      <c r="KFT27" s="66"/>
      <c r="KFU27" s="66"/>
      <c r="KFV27" s="66"/>
      <c r="KPM27" s="66"/>
      <c r="KPN27" s="66"/>
      <c r="KPO27" s="66"/>
      <c r="KPP27" s="66"/>
      <c r="KPQ27" s="66"/>
      <c r="KPR27" s="66"/>
      <c r="KZI27" s="66"/>
      <c r="KZJ27" s="66"/>
      <c r="KZK27" s="66"/>
      <c r="KZL27" s="66"/>
      <c r="KZM27" s="66"/>
      <c r="KZN27" s="66"/>
      <c r="LJE27" s="66"/>
      <c r="LJF27" s="66"/>
      <c r="LJG27" s="66"/>
      <c r="LJH27" s="66"/>
      <c r="LJI27" s="66"/>
      <c r="LJJ27" s="66"/>
      <c r="LTA27" s="66"/>
      <c r="LTB27" s="66"/>
      <c r="LTC27" s="66"/>
      <c r="LTD27" s="66"/>
      <c r="LTE27" s="66"/>
      <c r="LTF27" s="66"/>
      <c r="MCW27" s="66"/>
      <c r="MCX27" s="66"/>
      <c r="MCY27" s="66"/>
      <c r="MCZ27" s="66"/>
      <c r="MDA27" s="66"/>
      <c r="MDB27" s="66"/>
      <c r="MMS27" s="66"/>
      <c r="MMT27" s="66"/>
      <c r="MMU27" s="66"/>
      <c r="MMV27" s="66"/>
      <c r="MMW27" s="66"/>
      <c r="MMX27" s="66"/>
      <c r="MWO27" s="66"/>
      <c r="MWP27" s="66"/>
      <c r="MWQ27" s="66"/>
      <c r="MWR27" s="66"/>
      <c r="MWS27" s="66"/>
      <c r="MWT27" s="66"/>
      <c r="NGK27" s="66"/>
      <c r="NGL27" s="66"/>
      <c r="NGM27" s="66"/>
      <c r="NGN27" s="66"/>
      <c r="NGO27" s="66"/>
      <c r="NGP27" s="66"/>
      <c r="NQG27" s="66"/>
      <c r="NQH27" s="66"/>
      <c r="NQI27" s="66"/>
      <c r="NQJ27" s="66"/>
      <c r="NQK27" s="66"/>
      <c r="NQL27" s="66"/>
      <c r="OAC27" s="66"/>
      <c r="OAD27" s="66"/>
      <c r="OAE27" s="66"/>
      <c r="OAF27" s="66"/>
      <c r="OAG27" s="66"/>
      <c r="OAH27" s="66"/>
      <c r="OJY27" s="66"/>
      <c r="OJZ27" s="66"/>
      <c r="OKA27" s="66"/>
      <c r="OKB27" s="66"/>
      <c r="OKC27" s="66"/>
      <c r="OKD27" s="66"/>
      <c r="OTU27" s="66"/>
      <c r="OTV27" s="66"/>
      <c r="OTW27" s="66"/>
      <c r="OTX27" s="66"/>
      <c r="OTY27" s="66"/>
      <c r="OTZ27" s="66"/>
      <c r="PDQ27" s="66"/>
      <c r="PDR27" s="66"/>
      <c r="PDS27" s="66"/>
      <c r="PDT27" s="66"/>
      <c r="PDU27" s="66"/>
      <c r="PDV27" s="66"/>
      <c r="PNM27" s="66"/>
      <c r="PNN27" s="66"/>
      <c r="PNO27" s="66"/>
      <c r="PNP27" s="66"/>
      <c r="PNQ27" s="66"/>
      <c r="PNR27" s="66"/>
      <c r="PXI27" s="66"/>
      <c r="PXJ27" s="66"/>
      <c r="PXK27" s="66"/>
      <c r="PXL27" s="66"/>
      <c r="PXM27" s="66"/>
      <c r="PXN27" s="66"/>
      <c r="QHE27" s="66"/>
      <c r="QHF27" s="66"/>
      <c r="QHG27" s="66"/>
      <c r="QHH27" s="66"/>
      <c r="QHI27" s="66"/>
      <c r="QHJ27" s="66"/>
      <c r="QRA27" s="66"/>
      <c r="QRB27" s="66"/>
      <c r="QRC27" s="66"/>
      <c r="QRD27" s="66"/>
      <c r="QRE27" s="66"/>
      <c r="QRF27" s="66"/>
      <c r="RAW27" s="66"/>
      <c r="RAX27" s="66"/>
      <c r="RAY27" s="66"/>
      <c r="RAZ27" s="66"/>
      <c r="RBA27" s="66"/>
      <c r="RBB27" s="66"/>
      <c r="RKS27" s="66"/>
      <c r="RKT27" s="66"/>
      <c r="RKU27" s="66"/>
      <c r="RKV27" s="66"/>
      <c r="RKW27" s="66"/>
      <c r="RKX27" s="66"/>
      <c r="RUO27" s="66"/>
      <c r="RUP27" s="66"/>
      <c r="RUQ27" s="66"/>
      <c r="RUR27" s="66"/>
      <c r="RUS27" s="66"/>
      <c r="RUT27" s="66"/>
      <c r="SEK27" s="66"/>
      <c r="SEL27" s="66"/>
      <c r="SEM27" s="66"/>
      <c r="SEN27" s="66"/>
      <c r="SEO27" s="66"/>
      <c r="SEP27" s="66"/>
      <c r="SOG27" s="66"/>
      <c r="SOH27" s="66"/>
      <c r="SOI27" s="66"/>
      <c r="SOJ27" s="66"/>
      <c r="SOK27" s="66"/>
      <c r="SOL27" s="66"/>
      <c r="SYC27" s="66"/>
      <c r="SYD27" s="66"/>
      <c r="SYE27" s="66"/>
      <c r="SYF27" s="66"/>
      <c r="SYG27" s="66"/>
      <c r="SYH27" s="66"/>
      <c r="THY27" s="66"/>
      <c r="THZ27" s="66"/>
      <c r="TIA27" s="66"/>
      <c r="TIB27" s="66"/>
      <c r="TIC27" s="66"/>
      <c r="TID27" s="66"/>
      <c r="TRU27" s="66"/>
      <c r="TRV27" s="66"/>
      <c r="TRW27" s="66"/>
      <c r="TRX27" s="66"/>
      <c r="TRY27" s="66"/>
      <c r="TRZ27" s="66"/>
      <c r="UBQ27" s="66"/>
      <c r="UBR27" s="66"/>
      <c r="UBS27" s="66"/>
      <c r="UBT27" s="66"/>
      <c r="UBU27" s="66"/>
      <c r="UBV27" s="66"/>
      <c r="ULM27" s="66"/>
      <c r="ULN27" s="66"/>
      <c r="ULO27" s="66"/>
      <c r="ULP27" s="66"/>
      <c r="ULQ27" s="66"/>
      <c r="ULR27" s="66"/>
      <c r="UVI27" s="66"/>
      <c r="UVJ27" s="66"/>
      <c r="UVK27" s="66"/>
      <c r="UVL27" s="66"/>
      <c r="UVM27" s="66"/>
      <c r="UVN27" s="66"/>
      <c r="VFE27" s="66"/>
      <c r="VFF27" s="66"/>
      <c r="VFG27" s="66"/>
      <c r="VFH27" s="66"/>
      <c r="VFI27" s="66"/>
      <c r="VFJ27" s="66"/>
      <c r="VPA27" s="66"/>
      <c r="VPB27" s="66"/>
      <c r="VPC27" s="66"/>
      <c r="VPD27" s="66"/>
      <c r="VPE27" s="66"/>
      <c r="VPF27" s="66"/>
      <c r="VYW27" s="66"/>
      <c r="VYX27" s="66"/>
      <c r="VYY27" s="66"/>
      <c r="VYZ27" s="66"/>
      <c r="VZA27" s="66"/>
      <c r="VZB27" s="66"/>
      <c r="WIS27" s="66"/>
      <c r="WIT27" s="66"/>
      <c r="WIU27" s="66"/>
      <c r="WIV27" s="66"/>
      <c r="WIW27" s="66"/>
      <c r="WIX27" s="66"/>
      <c r="WSO27" s="66"/>
      <c r="WSP27" s="66"/>
      <c r="WSQ27" s="66"/>
      <c r="WSR27" s="66"/>
      <c r="WSS27" s="66"/>
      <c r="WST27" s="66"/>
    </row>
    <row r="28" spans="1:958 1209:1982 2233:3006 3257:4030 4281:5054 5305:6078 6329:7102 7353:8126 8377:9150 9401:10174 10425:11198 11449:12222 12473:13246 13497:14270 14521:15294 15545:16062" ht="60.75" x14ac:dyDescent="0.25">
      <c r="A28" s="70" t="s">
        <v>169</v>
      </c>
      <c r="B28" s="71" t="s">
        <v>495</v>
      </c>
      <c r="C28" s="100">
        <v>100</v>
      </c>
      <c r="D28" s="310">
        <f>'Приложение 4'!F181</f>
        <v>1018451.9</v>
      </c>
      <c r="E28" s="310">
        <f>'Приложение 4'!G181</f>
        <v>475491.9</v>
      </c>
      <c r="F28" s="310">
        <f>'Приложение 4'!H181</f>
        <v>475491.9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958 1209:1982 2233:3006 3257:4030 4281:5054 5305:6078 6329:7102 7353:8126 8377:9150 9401:10174 10425:11198 11449:12222 12473:13246 13497:14270 14521:15294 15545:16062" ht="30.75" x14ac:dyDescent="0.25">
      <c r="A29" s="72" t="s">
        <v>170</v>
      </c>
      <c r="B29" s="71" t="s">
        <v>495</v>
      </c>
      <c r="C29" s="100">
        <v>200</v>
      </c>
      <c r="D29" s="310">
        <f>'Приложение 4'!F182+'Приложение 4'!F250+'Приложение 4'!F264</f>
        <v>6978764.4000000004</v>
      </c>
      <c r="E29" s="310">
        <f>'Приложение 4'!G182+'Приложение 4'!G250+'Приложение 4'!G264</f>
        <v>6390701.7000000002</v>
      </c>
      <c r="F29" s="310">
        <f>'Приложение 4'!H182+'Приложение 4'!H250+'Приложение 4'!H264</f>
        <v>6390701.7000000002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958 1209:1982 2233:3006 3257:4030 4281:5054 5305:6078 6329:7102 7353:8126 8377:9150 9401:10174 10425:11198 11449:12222 12473:13246 13497:14270 14521:15294 15545:16062" ht="15.75" x14ac:dyDescent="0.25">
      <c r="A30" s="70" t="s">
        <v>171</v>
      </c>
      <c r="B30" s="71" t="s">
        <v>495</v>
      </c>
      <c r="C30" s="100">
        <v>300</v>
      </c>
      <c r="D30" s="310">
        <f>'Приложение 4'!F183+'Приложение 4'!F265</f>
        <v>10629342.789999999</v>
      </c>
      <c r="E30" s="310">
        <f>'Приложение 4'!G183+'Приложение 4'!G265</f>
        <v>10726342.789999999</v>
      </c>
      <c r="F30" s="310">
        <f>'Приложение 4'!H183+'Приложение 4'!H265</f>
        <v>10726342.789999999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958 1209:1982 2233:3006 3257:4030 4281:5054 5305:6078 6329:7102 7353:8126 8377:9150 9401:10174 10425:11198 11449:12222 12473:13246 13497:14270 14521:15294 15545:16062" ht="30.75" x14ac:dyDescent="0.25">
      <c r="A31" s="70" t="s">
        <v>173</v>
      </c>
      <c r="B31" s="71" t="s">
        <v>495</v>
      </c>
      <c r="C31" s="59">
        <v>600</v>
      </c>
      <c r="D31" s="310">
        <f>'Приложение 4'!F251</f>
        <v>5700000</v>
      </c>
      <c r="E31" s="310">
        <f>'Приложение 4'!G251</f>
        <v>5700000</v>
      </c>
      <c r="F31" s="310">
        <f>'Приложение 4'!H251</f>
        <v>5700000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958 1209:1982 2233:3006 3257:4030 4281:5054 5305:6078 6329:7102 7353:8126 8377:9150 9401:10174 10425:11198 11449:12222 12473:13246 13497:14270 14521:15294 15545:16062" s="64" customFormat="1" ht="15.75" x14ac:dyDescent="0.25">
      <c r="A32" s="79" t="s">
        <v>474</v>
      </c>
      <c r="B32" s="76" t="s">
        <v>496</v>
      </c>
      <c r="C32" s="62"/>
      <c r="D32" s="259">
        <f>SUM(D33:D34)</f>
        <v>17463929.23</v>
      </c>
      <c r="E32" s="259">
        <f>SUM(E33:E34)</f>
        <v>16541367.949999999</v>
      </c>
      <c r="F32" s="259">
        <f>SUM(F33:F34)</f>
        <v>17199367.949999999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GC32" s="66"/>
      <c r="GD32" s="66"/>
      <c r="GE32" s="66"/>
      <c r="GF32" s="66"/>
      <c r="GG32" s="66"/>
      <c r="GH32" s="66"/>
      <c r="PY32" s="66"/>
      <c r="PZ32" s="66"/>
      <c r="QA32" s="66"/>
      <c r="QB32" s="66"/>
      <c r="QC32" s="66"/>
      <c r="QD32" s="66"/>
      <c r="ZU32" s="66"/>
      <c r="ZV32" s="66"/>
      <c r="ZW32" s="66"/>
      <c r="ZX32" s="66"/>
      <c r="ZY32" s="66"/>
      <c r="ZZ32" s="66"/>
      <c r="AJQ32" s="66"/>
      <c r="AJR32" s="66"/>
      <c r="AJS32" s="66"/>
      <c r="AJT32" s="66"/>
      <c r="AJU32" s="66"/>
      <c r="AJV32" s="66"/>
      <c r="ATM32" s="66"/>
      <c r="ATN32" s="66"/>
      <c r="ATO32" s="66"/>
      <c r="ATP32" s="66"/>
      <c r="ATQ32" s="66"/>
      <c r="ATR32" s="66"/>
      <c r="BDI32" s="66"/>
      <c r="BDJ32" s="66"/>
      <c r="BDK32" s="66"/>
      <c r="BDL32" s="66"/>
      <c r="BDM32" s="66"/>
      <c r="BDN32" s="66"/>
      <c r="BNE32" s="66"/>
      <c r="BNF32" s="66"/>
      <c r="BNG32" s="66"/>
      <c r="BNH32" s="66"/>
      <c r="BNI32" s="66"/>
      <c r="BNJ32" s="66"/>
      <c r="BXA32" s="66"/>
      <c r="BXB32" s="66"/>
      <c r="BXC32" s="66"/>
      <c r="BXD32" s="66"/>
      <c r="BXE32" s="66"/>
      <c r="BXF32" s="66"/>
      <c r="CGW32" s="66"/>
      <c r="CGX32" s="66"/>
      <c r="CGY32" s="66"/>
      <c r="CGZ32" s="66"/>
      <c r="CHA32" s="66"/>
      <c r="CHB32" s="66"/>
      <c r="CQS32" s="66"/>
      <c r="CQT32" s="66"/>
      <c r="CQU32" s="66"/>
      <c r="CQV32" s="66"/>
      <c r="CQW32" s="66"/>
      <c r="CQX32" s="66"/>
      <c r="DAO32" s="66"/>
      <c r="DAP32" s="66"/>
      <c r="DAQ32" s="66"/>
      <c r="DAR32" s="66"/>
      <c r="DAS32" s="66"/>
      <c r="DAT32" s="66"/>
      <c r="DKK32" s="66"/>
      <c r="DKL32" s="66"/>
      <c r="DKM32" s="66"/>
      <c r="DKN32" s="66"/>
      <c r="DKO32" s="66"/>
      <c r="DKP32" s="66"/>
      <c r="DUG32" s="66"/>
      <c r="DUH32" s="66"/>
      <c r="DUI32" s="66"/>
      <c r="DUJ32" s="66"/>
      <c r="DUK32" s="66"/>
      <c r="DUL32" s="66"/>
      <c r="EEC32" s="66"/>
      <c r="EED32" s="66"/>
      <c r="EEE32" s="66"/>
      <c r="EEF32" s="66"/>
      <c r="EEG32" s="66"/>
      <c r="EEH32" s="66"/>
      <c r="ENY32" s="66"/>
      <c r="ENZ32" s="66"/>
      <c r="EOA32" s="66"/>
      <c r="EOB32" s="66"/>
      <c r="EOC32" s="66"/>
      <c r="EOD32" s="66"/>
      <c r="EXU32" s="66"/>
      <c r="EXV32" s="66"/>
      <c r="EXW32" s="66"/>
      <c r="EXX32" s="66"/>
      <c r="EXY32" s="66"/>
      <c r="EXZ32" s="66"/>
      <c r="FHQ32" s="66"/>
      <c r="FHR32" s="66"/>
      <c r="FHS32" s="66"/>
      <c r="FHT32" s="66"/>
      <c r="FHU32" s="66"/>
      <c r="FHV32" s="66"/>
      <c r="FRM32" s="66"/>
      <c r="FRN32" s="66"/>
      <c r="FRO32" s="66"/>
      <c r="FRP32" s="66"/>
      <c r="FRQ32" s="66"/>
      <c r="FRR32" s="66"/>
      <c r="GBI32" s="66"/>
      <c r="GBJ32" s="66"/>
      <c r="GBK32" s="66"/>
      <c r="GBL32" s="66"/>
      <c r="GBM32" s="66"/>
      <c r="GBN32" s="66"/>
      <c r="GLE32" s="66"/>
      <c r="GLF32" s="66"/>
      <c r="GLG32" s="66"/>
      <c r="GLH32" s="66"/>
      <c r="GLI32" s="66"/>
      <c r="GLJ32" s="66"/>
      <c r="GVA32" s="66"/>
      <c r="GVB32" s="66"/>
      <c r="GVC32" s="66"/>
      <c r="GVD32" s="66"/>
      <c r="GVE32" s="66"/>
      <c r="GVF32" s="66"/>
      <c r="HEW32" s="66"/>
      <c r="HEX32" s="66"/>
      <c r="HEY32" s="66"/>
      <c r="HEZ32" s="66"/>
      <c r="HFA32" s="66"/>
      <c r="HFB32" s="66"/>
      <c r="HOS32" s="66"/>
      <c r="HOT32" s="66"/>
      <c r="HOU32" s="66"/>
      <c r="HOV32" s="66"/>
      <c r="HOW32" s="66"/>
      <c r="HOX32" s="66"/>
      <c r="HYO32" s="66"/>
      <c r="HYP32" s="66"/>
      <c r="HYQ32" s="66"/>
      <c r="HYR32" s="66"/>
      <c r="HYS32" s="66"/>
      <c r="HYT32" s="66"/>
      <c r="IIK32" s="66"/>
      <c r="IIL32" s="66"/>
      <c r="IIM32" s="66"/>
      <c r="IIN32" s="66"/>
      <c r="IIO32" s="66"/>
      <c r="IIP32" s="66"/>
      <c r="ISG32" s="66"/>
      <c r="ISH32" s="66"/>
      <c r="ISI32" s="66"/>
      <c r="ISJ32" s="66"/>
      <c r="ISK32" s="66"/>
      <c r="ISL32" s="66"/>
      <c r="JCC32" s="66"/>
      <c r="JCD32" s="66"/>
      <c r="JCE32" s="66"/>
      <c r="JCF32" s="66"/>
      <c r="JCG32" s="66"/>
      <c r="JCH32" s="66"/>
      <c r="JLY32" s="66"/>
      <c r="JLZ32" s="66"/>
      <c r="JMA32" s="66"/>
      <c r="JMB32" s="66"/>
      <c r="JMC32" s="66"/>
      <c r="JMD32" s="66"/>
      <c r="JVU32" s="66"/>
      <c r="JVV32" s="66"/>
      <c r="JVW32" s="66"/>
      <c r="JVX32" s="66"/>
      <c r="JVY32" s="66"/>
      <c r="JVZ32" s="66"/>
      <c r="KFQ32" s="66"/>
      <c r="KFR32" s="66"/>
      <c r="KFS32" s="66"/>
      <c r="KFT32" s="66"/>
      <c r="KFU32" s="66"/>
      <c r="KFV32" s="66"/>
      <c r="KPM32" s="66"/>
      <c r="KPN32" s="66"/>
      <c r="KPO32" s="66"/>
      <c r="KPP32" s="66"/>
      <c r="KPQ32" s="66"/>
      <c r="KPR32" s="66"/>
      <c r="KZI32" s="66"/>
      <c r="KZJ32" s="66"/>
      <c r="KZK32" s="66"/>
      <c r="KZL32" s="66"/>
      <c r="KZM32" s="66"/>
      <c r="KZN32" s="66"/>
      <c r="LJE32" s="66"/>
      <c r="LJF32" s="66"/>
      <c r="LJG32" s="66"/>
      <c r="LJH32" s="66"/>
      <c r="LJI32" s="66"/>
      <c r="LJJ32" s="66"/>
      <c r="LTA32" s="66"/>
      <c r="LTB32" s="66"/>
      <c r="LTC32" s="66"/>
      <c r="LTD32" s="66"/>
      <c r="LTE32" s="66"/>
      <c r="LTF32" s="66"/>
      <c r="MCW32" s="66"/>
      <c r="MCX32" s="66"/>
      <c r="MCY32" s="66"/>
      <c r="MCZ32" s="66"/>
      <c r="MDA32" s="66"/>
      <c r="MDB32" s="66"/>
      <c r="MMS32" s="66"/>
      <c r="MMT32" s="66"/>
      <c r="MMU32" s="66"/>
      <c r="MMV32" s="66"/>
      <c r="MMW32" s="66"/>
      <c r="MMX32" s="66"/>
      <c r="MWO32" s="66"/>
      <c r="MWP32" s="66"/>
      <c r="MWQ32" s="66"/>
      <c r="MWR32" s="66"/>
      <c r="MWS32" s="66"/>
      <c r="MWT32" s="66"/>
      <c r="NGK32" s="66"/>
      <c r="NGL32" s="66"/>
      <c r="NGM32" s="66"/>
      <c r="NGN32" s="66"/>
      <c r="NGO32" s="66"/>
      <c r="NGP32" s="66"/>
      <c r="NQG32" s="66"/>
      <c r="NQH32" s="66"/>
      <c r="NQI32" s="66"/>
      <c r="NQJ32" s="66"/>
      <c r="NQK32" s="66"/>
      <c r="NQL32" s="66"/>
      <c r="OAC32" s="66"/>
      <c r="OAD32" s="66"/>
      <c r="OAE32" s="66"/>
      <c r="OAF32" s="66"/>
      <c r="OAG32" s="66"/>
      <c r="OAH32" s="66"/>
      <c r="OJY32" s="66"/>
      <c r="OJZ32" s="66"/>
      <c r="OKA32" s="66"/>
      <c r="OKB32" s="66"/>
      <c r="OKC32" s="66"/>
      <c r="OKD32" s="66"/>
      <c r="OTU32" s="66"/>
      <c r="OTV32" s="66"/>
      <c r="OTW32" s="66"/>
      <c r="OTX32" s="66"/>
      <c r="OTY32" s="66"/>
      <c r="OTZ32" s="66"/>
      <c r="PDQ32" s="66"/>
      <c r="PDR32" s="66"/>
      <c r="PDS32" s="66"/>
      <c r="PDT32" s="66"/>
      <c r="PDU32" s="66"/>
      <c r="PDV32" s="66"/>
      <c r="PNM32" s="66"/>
      <c r="PNN32" s="66"/>
      <c r="PNO32" s="66"/>
      <c r="PNP32" s="66"/>
      <c r="PNQ32" s="66"/>
      <c r="PNR32" s="66"/>
      <c r="PXI32" s="66"/>
      <c r="PXJ32" s="66"/>
      <c r="PXK32" s="66"/>
      <c r="PXL32" s="66"/>
      <c r="PXM32" s="66"/>
      <c r="PXN32" s="66"/>
      <c r="QHE32" s="66"/>
      <c r="QHF32" s="66"/>
      <c r="QHG32" s="66"/>
      <c r="QHH32" s="66"/>
      <c r="QHI32" s="66"/>
      <c r="QHJ32" s="66"/>
      <c r="QRA32" s="66"/>
      <c r="QRB32" s="66"/>
      <c r="QRC32" s="66"/>
      <c r="QRD32" s="66"/>
      <c r="QRE32" s="66"/>
      <c r="QRF32" s="66"/>
      <c r="RAW32" s="66"/>
      <c r="RAX32" s="66"/>
      <c r="RAY32" s="66"/>
      <c r="RAZ32" s="66"/>
      <c r="RBA32" s="66"/>
      <c r="RBB32" s="66"/>
      <c r="RKS32" s="66"/>
      <c r="RKT32" s="66"/>
      <c r="RKU32" s="66"/>
      <c r="RKV32" s="66"/>
      <c r="RKW32" s="66"/>
      <c r="RKX32" s="66"/>
      <c r="RUO32" s="66"/>
      <c r="RUP32" s="66"/>
      <c r="RUQ32" s="66"/>
      <c r="RUR32" s="66"/>
      <c r="RUS32" s="66"/>
      <c r="RUT32" s="66"/>
      <c r="SEK32" s="66"/>
      <c r="SEL32" s="66"/>
      <c r="SEM32" s="66"/>
      <c r="SEN32" s="66"/>
      <c r="SEO32" s="66"/>
      <c r="SEP32" s="66"/>
      <c r="SOG32" s="66"/>
      <c r="SOH32" s="66"/>
      <c r="SOI32" s="66"/>
      <c r="SOJ32" s="66"/>
      <c r="SOK32" s="66"/>
      <c r="SOL32" s="66"/>
      <c r="SYC32" s="66"/>
      <c r="SYD32" s="66"/>
      <c r="SYE32" s="66"/>
      <c r="SYF32" s="66"/>
      <c r="SYG32" s="66"/>
      <c r="SYH32" s="66"/>
      <c r="THY32" s="66"/>
      <c r="THZ32" s="66"/>
      <c r="TIA32" s="66"/>
      <c r="TIB32" s="66"/>
      <c r="TIC32" s="66"/>
      <c r="TID32" s="66"/>
      <c r="TRU32" s="66"/>
      <c r="TRV32" s="66"/>
      <c r="TRW32" s="66"/>
      <c r="TRX32" s="66"/>
      <c r="TRY32" s="66"/>
      <c r="TRZ32" s="66"/>
      <c r="UBQ32" s="66"/>
      <c r="UBR32" s="66"/>
      <c r="UBS32" s="66"/>
      <c r="UBT32" s="66"/>
      <c r="UBU32" s="66"/>
      <c r="UBV32" s="66"/>
      <c r="ULM32" s="66"/>
      <c r="ULN32" s="66"/>
      <c r="ULO32" s="66"/>
      <c r="ULP32" s="66"/>
      <c r="ULQ32" s="66"/>
      <c r="ULR32" s="66"/>
      <c r="UVI32" s="66"/>
      <c r="UVJ32" s="66"/>
      <c r="UVK32" s="66"/>
      <c r="UVL32" s="66"/>
      <c r="UVM32" s="66"/>
      <c r="UVN32" s="66"/>
      <c r="VFE32" s="66"/>
      <c r="VFF32" s="66"/>
      <c r="VFG32" s="66"/>
      <c r="VFH32" s="66"/>
      <c r="VFI32" s="66"/>
      <c r="VFJ32" s="66"/>
      <c r="VPA32" s="66"/>
      <c r="VPB32" s="66"/>
      <c r="VPC32" s="66"/>
      <c r="VPD32" s="66"/>
      <c r="VPE32" s="66"/>
      <c r="VPF32" s="66"/>
      <c r="VYW32" s="66"/>
      <c r="VYX32" s="66"/>
      <c r="VYY32" s="66"/>
      <c r="VYZ32" s="66"/>
      <c r="VZA32" s="66"/>
      <c r="VZB32" s="66"/>
      <c r="WIS32" s="66"/>
      <c r="WIT32" s="66"/>
      <c r="WIU32" s="66"/>
      <c r="WIV32" s="66"/>
      <c r="WIW32" s="66"/>
      <c r="WIX32" s="66"/>
      <c r="WSO32" s="66"/>
      <c r="WSP32" s="66"/>
      <c r="WSQ32" s="66"/>
      <c r="WSR32" s="66"/>
      <c r="WSS32" s="66"/>
      <c r="WST32" s="66"/>
    </row>
    <row r="33" spans="1:958 1209:1982 2233:3006 3257:4030 4281:5054 5305:6078 6329:7102 7353:8126 8377:9150 9401:10174 10425:11198 11449:12222 12473:13246 13497:14270 14521:15294 15545:16062" ht="60.75" x14ac:dyDescent="0.25">
      <c r="A33" s="70" t="s">
        <v>169</v>
      </c>
      <c r="B33" s="71" t="s">
        <v>496</v>
      </c>
      <c r="C33" s="59">
        <v>100</v>
      </c>
      <c r="D33" s="311">
        <f>'Приложение 4'!F185</f>
        <v>16170566.799999999</v>
      </c>
      <c r="E33" s="311">
        <f>'Приложение 4'!G185</f>
        <v>15704865.52</v>
      </c>
      <c r="F33" s="311">
        <f>'Приложение 4'!H185</f>
        <v>16362865.52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958 1209:1982 2233:3006 3257:4030 4281:5054 5305:6078 6329:7102 7353:8126 8377:9150 9401:10174 10425:11198 11449:12222 12473:13246 13497:14270 14521:15294 15545:16062" ht="30.75" x14ac:dyDescent="0.25">
      <c r="A34" s="72" t="s">
        <v>170</v>
      </c>
      <c r="B34" s="71" t="s">
        <v>496</v>
      </c>
      <c r="C34" s="59">
        <v>200</v>
      </c>
      <c r="D34" s="310">
        <f>'Приложение 4'!F186</f>
        <v>1293362.4300000002</v>
      </c>
      <c r="E34" s="310">
        <f>'Приложение 4'!G186</f>
        <v>836502.43</v>
      </c>
      <c r="F34" s="310">
        <f>'Приложение 4'!H186</f>
        <v>836502.43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958 1209:1982 2233:3006 3257:4030 4281:5054 5305:6078 6329:7102 7353:8126 8377:9150 9401:10174 10425:11198 11449:12222 12473:13246 13497:14270 14521:15294 15545:16062" ht="15.75" x14ac:dyDescent="0.25">
      <c r="A35" s="80" t="s">
        <v>189</v>
      </c>
      <c r="B35" s="81" t="s">
        <v>479</v>
      </c>
      <c r="C35" s="81"/>
      <c r="D35" s="74">
        <f>D36</f>
        <v>3279050</v>
      </c>
      <c r="E35" s="74">
        <f>E36</f>
        <v>2995900</v>
      </c>
      <c r="F35" s="74">
        <f>F36</f>
        <v>2995900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958 1209:1982 2233:3006 3257:4030 4281:5054 5305:6078 6329:7102 7353:8126 8377:9150 9401:10174 10425:11198 11449:12222 12473:13246 13497:14270 14521:15294 15545:16062" ht="15.75" x14ac:dyDescent="0.25">
      <c r="A36" s="283" t="s">
        <v>478</v>
      </c>
      <c r="B36" s="83" t="s">
        <v>480</v>
      </c>
      <c r="C36" s="83"/>
      <c r="D36" s="259">
        <f>SUM(D37:D39)</f>
        <v>3279050</v>
      </c>
      <c r="E36" s="259">
        <f>SUM(E37:E39)</f>
        <v>2995900</v>
      </c>
      <c r="F36" s="259">
        <f>SUM(F37:F39)</f>
        <v>2995900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958 1209:1982 2233:3006 3257:4030 4281:5054 5305:6078 6329:7102 7353:8126 8377:9150 9401:10174 10425:11198 11449:12222 12473:13246 13497:14270 14521:15294 15545:16062" ht="60.75" x14ac:dyDescent="0.25">
      <c r="A37" s="72" t="s">
        <v>169</v>
      </c>
      <c r="B37" s="84" t="s">
        <v>480</v>
      </c>
      <c r="C37" s="84" t="s">
        <v>178</v>
      </c>
      <c r="D37" s="310">
        <f>'Приложение 4'!F283</f>
        <v>592580</v>
      </c>
      <c r="E37" s="310">
        <f>'Приложение 4'!G283</f>
        <v>272580</v>
      </c>
      <c r="F37" s="310">
        <f>'Приложение 4'!H283</f>
        <v>272580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958 1209:1982 2233:3006 3257:4030 4281:5054 5305:6078 6329:7102 7353:8126 8377:9150 9401:10174 10425:11198 11449:12222 12473:13246 13497:14270 14521:15294 15545:16062" ht="30.75" x14ac:dyDescent="0.25">
      <c r="A38" s="72" t="s">
        <v>170</v>
      </c>
      <c r="B38" s="84" t="s">
        <v>480</v>
      </c>
      <c r="C38" s="84" t="s">
        <v>181</v>
      </c>
      <c r="D38" s="310">
        <f>'Приложение 4'!F284</f>
        <v>1552074.62</v>
      </c>
      <c r="E38" s="310">
        <f>'Приложение 4'!G284</f>
        <v>1268924.6200000001</v>
      </c>
      <c r="F38" s="310">
        <f>'Приложение 4'!H284</f>
        <v>1268924.6200000001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958 1209:1982 2233:3006 3257:4030 4281:5054 5305:6078 6329:7102 7353:8126 8377:9150 9401:10174 10425:11198 11449:12222 12473:13246 13497:14270 14521:15294 15545:16062" ht="15.75" x14ac:dyDescent="0.25">
      <c r="A39" s="72" t="s">
        <v>171</v>
      </c>
      <c r="B39" s="84" t="s">
        <v>480</v>
      </c>
      <c r="C39" s="84" t="s">
        <v>183</v>
      </c>
      <c r="D39" s="310">
        <f>'Приложение 4'!F285</f>
        <v>1134395.3799999999</v>
      </c>
      <c r="E39" s="310">
        <f>'Приложение 4'!G285</f>
        <v>1454395.38</v>
      </c>
      <c r="F39" s="310">
        <f>'Приложение 4'!H285</f>
        <v>1454395.38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958 1209:1982 2233:3006 3257:4030 4281:5054 5305:6078 6329:7102 7353:8126 8377:9150 9401:10174 10425:11198 11449:12222 12473:13246 13497:14270 14521:15294 15545:16062" ht="15.75" x14ac:dyDescent="0.25">
      <c r="A40" s="80" t="s">
        <v>182</v>
      </c>
      <c r="B40" s="81" t="s">
        <v>498</v>
      </c>
      <c r="C40" s="81"/>
      <c r="D40" s="74">
        <f>D41+D46</f>
        <v>11057769</v>
      </c>
      <c r="E40" s="74">
        <f>E41+E46</f>
        <v>10571195.83</v>
      </c>
      <c r="F40" s="74">
        <f>F41+F46</f>
        <v>11360343.439999999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958 1209:1982 2233:3006 3257:4030 4281:5054 5305:6078 6329:7102 7353:8126 8377:9150 9401:10174 10425:11198 11449:12222 12473:13246 13497:14270 14521:15294 15545:16062" ht="15.75" x14ac:dyDescent="0.25">
      <c r="A41" s="82" t="s">
        <v>478</v>
      </c>
      <c r="B41" s="83" t="s">
        <v>500</v>
      </c>
      <c r="C41" s="83"/>
      <c r="D41" s="259">
        <f>SUM(D42:D45)</f>
        <v>1411418</v>
      </c>
      <c r="E41" s="259">
        <f>SUM(E42:E45)</f>
        <v>1792195.83</v>
      </c>
      <c r="F41" s="259">
        <f>SUM(F42:F45)</f>
        <v>2581343.44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958 1209:1982 2233:3006 3257:4030 4281:5054 5305:6078 6329:7102 7353:8126 8377:9150 9401:10174 10425:11198 11449:12222 12473:13246 13497:14270 14521:15294 15545:16062" ht="60.75" x14ac:dyDescent="0.25">
      <c r="A42" s="72" t="s">
        <v>169</v>
      </c>
      <c r="B42" s="84" t="s">
        <v>500</v>
      </c>
      <c r="C42" s="84" t="s">
        <v>178</v>
      </c>
      <c r="D42" s="310">
        <f>'Приложение 4'!F288</f>
        <v>0</v>
      </c>
      <c r="E42" s="310">
        <f>'Приложение 4'!G288</f>
        <v>0</v>
      </c>
      <c r="F42" s="310">
        <f>'Приложение 4'!H288</f>
        <v>218117.49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958 1209:1982 2233:3006 3257:4030 4281:5054 5305:6078 6329:7102 7353:8126 8377:9150 9401:10174 10425:11198 11449:12222 12473:13246 13497:14270 14521:15294 15545:16062" ht="30.75" x14ac:dyDescent="0.25">
      <c r="A43" s="72" t="s">
        <v>170</v>
      </c>
      <c r="B43" s="84" t="s">
        <v>500</v>
      </c>
      <c r="C43" s="84" t="s">
        <v>181</v>
      </c>
      <c r="D43" s="310">
        <f>'Приложение 4'!F268+'Приложение 4'!F289</f>
        <v>796701</v>
      </c>
      <c r="E43" s="310">
        <f>'Приложение 4'!G268+'Приложение 4'!G289</f>
        <v>1192195.83</v>
      </c>
      <c r="F43" s="310">
        <f>'Приложение 4'!H268+'Приложение 4'!H289</f>
        <v>1763225.95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958 1209:1982 2233:3006 3257:4030 4281:5054 5305:6078 6329:7102 7353:8126 8377:9150 9401:10174 10425:11198 11449:12222 12473:13246 13497:14270 14521:15294 15545:16062" ht="15.75" x14ac:dyDescent="0.25">
      <c r="A44" s="72" t="s">
        <v>171</v>
      </c>
      <c r="B44" s="84" t="s">
        <v>500</v>
      </c>
      <c r="C44" s="84" t="s">
        <v>183</v>
      </c>
      <c r="D44" s="310">
        <f>'Приложение 4'!F269+'Приложение 4'!F290</f>
        <v>524717</v>
      </c>
      <c r="E44" s="310">
        <f>'Приложение 4'!G269+'Приложение 4'!G290</f>
        <v>600000</v>
      </c>
      <c r="F44" s="310">
        <f>'Приложение 4'!H269+'Приложение 4'!H290</f>
        <v>600000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958 1209:1982 2233:3006 3257:4030 4281:5054 5305:6078 6329:7102 7353:8126 8377:9150 9401:10174 10425:11198 11449:12222 12473:13246 13497:14270 14521:15294 15545:16062" ht="15.75" x14ac:dyDescent="0.25">
      <c r="A45" s="72" t="s">
        <v>172</v>
      </c>
      <c r="B45" s="84" t="s">
        <v>500</v>
      </c>
      <c r="C45" s="84" t="s">
        <v>179</v>
      </c>
      <c r="D45" s="310">
        <f>'Приложение 4'!F291</f>
        <v>90000</v>
      </c>
      <c r="E45" s="310">
        <f>'Приложение 4'!G291</f>
        <v>0</v>
      </c>
      <c r="F45" s="310">
        <f>'Приложение 4'!H291</f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958 1209:1982 2233:3006 3257:4030 4281:5054 5305:6078 6329:7102 7353:8126 8377:9150 9401:10174 10425:11198 11449:12222 12473:13246 13497:14270 14521:15294 15545:16062" ht="15.75" x14ac:dyDescent="0.25">
      <c r="A46" s="82" t="s">
        <v>474</v>
      </c>
      <c r="B46" s="83" t="s">
        <v>499</v>
      </c>
      <c r="C46" s="83"/>
      <c r="D46" s="259">
        <f>D47</f>
        <v>9646351</v>
      </c>
      <c r="E46" s="259">
        <f>E47</f>
        <v>8779000</v>
      </c>
      <c r="F46" s="259">
        <f>F47</f>
        <v>8779000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958 1209:1982 2233:3006 3257:4030 4281:5054 5305:6078 6329:7102 7353:8126 8377:9150 9401:10174 10425:11198 11449:12222 12473:13246 13497:14270 14521:15294 15545:16062" ht="15.75" x14ac:dyDescent="0.25">
      <c r="A47" s="72" t="s">
        <v>171</v>
      </c>
      <c r="B47" s="84" t="s">
        <v>499</v>
      </c>
      <c r="C47" s="84" t="s">
        <v>183</v>
      </c>
      <c r="D47" s="310">
        <f>'Приложение 4'!F243+'Приложение 4'!F271+'Приложение 4'!F293</f>
        <v>9646351</v>
      </c>
      <c r="E47" s="310">
        <f>'Приложение 4'!G243+'Приложение 4'!G271+'Приложение 4'!G293</f>
        <v>8779000</v>
      </c>
      <c r="F47" s="310">
        <f>'Приложение 4'!H243+'Приложение 4'!H271+'Приложение 4'!H293</f>
        <v>8779000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958 1209:1982 2233:3006 3257:4030 4281:5054 5305:6078 6329:7102 7353:8126 8377:9150 9401:10174 10425:11198 11449:12222 12473:13246 13497:14270 14521:15294 15545:16062" s="64" customFormat="1" ht="15.75" x14ac:dyDescent="0.25">
      <c r="A48" s="80" t="s">
        <v>584</v>
      </c>
      <c r="B48" s="81" t="s">
        <v>585</v>
      </c>
      <c r="C48" s="81"/>
      <c r="D48" s="74">
        <f t="shared" ref="D48:F49" si="0">D49</f>
        <v>10930452.68</v>
      </c>
      <c r="E48" s="74">
        <f t="shared" si="0"/>
        <v>0</v>
      </c>
      <c r="F48" s="74">
        <f t="shared" si="0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GC48" s="66"/>
      <c r="GD48" s="66"/>
      <c r="GE48" s="66"/>
      <c r="GF48" s="66"/>
      <c r="GG48" s="66"/>
      <c r="GH48" s="66"/>
      <c r="PY48" s="66"/>
      <c r="PZ48" s="66"/>
      <c r="QA48" s="66"/>
      <c r="QB48" s="66"/>
      <c r="QC48" s="66"/>
      <c r="QD48" s="66"/>
      <c r="ZU48" s="66"/>
      <c r="ZV48" s="66"/>
      <c r="ZW48" s="66"/>
      <c r="ZX48" s="66"/>
      <c r="ZY48" s="66"/>
      <c r="ZZ48" s="66"/>
      <c r="AJQ48" s="66"/>
      <c r="AJR48" s="66"/>
      <c r="AJS48" s="66"/>
      <c r="AJT48" s="66"/>
      <c r="AJU48" s="66"/>
      <c r="AJV48" s="66"/>
      <c r="ATM48" s="66"/>
      <c r="ATN48" s="66"/>
      <c r="ATO48" s="66"/>
      <c r="ATP48" s="66"/>
      <c r="ATQ48" s="66"/>
      <c r="ATR48" s="66"/>
      <c r="BDI48" s="66"/>
      <c r="BDJ48" s="66"/>
      <c r="BDK48" s="66"/>
      <c r="BDL48" s="66"/>
      <c r="BDM48" s="66"/>
      <c r="BDN48" s="66"/>
      <c r="BNE48" s="66"/>
      <c r="BNF48" s="66"/>
      <c r="BNG48" s="66"/>
      <c r="BNH48" s="66"/>
      <c r="BNI48" s="66"/>
      <c r="BNJ48" s="66"/>
      <c r="BXA48" s="66"/>
      <c r="BXB48" s="66"/>
      <c r="BXC48" s="66"/>
      <c r="BXD48" s="66"/>
      <c r="BXE48" s="66"/>
      <c r="BXF48" s="66"/>
      <c r="CGW48" s="66"/>
      <c r="CGX48" s="66"/>
      <c r="CGY48" s="66"/>
      <c r="CGZ48" s="66"/>
      <c r="CHA48" s="66"/>
      <c r="CHB48" s="66"/>
      <c r="CQS48" s="66"/>
      <c r="CQT48" s="66"/>
      <c r="CQU48" s="66"/>
      <c r="CQV48" s="66"/>
      <c r="CQW48" s="66"/>
      <c r="CQX48" s="66"/>
      <c r="DAO48" s="66"/>
      <c r="DAP48" s="66"/>
      <c r="DAQ48" s="66"/>
      <c r="DAR48" s="66"/>
      <c r="DAS48" s="66"/>
      <c r="DAT48" s="66"/>
      <c r="DKK48" s="66"/>
      <c r="DKL48" s="66"/>
      <c r="DKM48" s="66"/>
      <c r="DKN48" s="66"/>
      <c r="DKO48" s="66"/>
      <c r="DKP48" s="66"/>
      <c r="DUG48" s="66"/>
      <c r="DUH48" s="66"/>
      <c r="DUI48" s="66"/>
      <c r="DUJ48" s="66"/>
      <c r="DUK48" s="66"/>
      <c r="DUL48" s="66"/>
      <c r="EEC48" s="66"/>
      <c r="EED48" s="66"/>
      <c r="EEE48" s="66"/>
      <c r="EEF48" s="66"/>
      <c r="EEG48" s="66"/>
      <c r="EEH48" s="66"/>
      <c r="ENY48" s="66"/>
      <c r="ENZ48" s="66"/>
      <c r="EOA48" s="66"/>
      <c r="EOB48" s="66"/>
      <c r="EOC48" s="66"/>
      <c r="EOD48" s="66"/>
      <c r="EXU48" s="66"/>
      <c r="EXV48" s="66"/>
      <c r="EXW48" s="66"/>
      <c r="EXX48" s="66"/>
      <c r="EXY48" s="66"/>
      <c r="EXZ48" s="66"/>
      <c r="FHQ48" s="66"/>
      <c r="FHR48" s="66"/>
      <c r="FHS48" s="66"/>
      <c r="FHT48" s="66"/>
      <c r="FHU48" s="66"/>
      <c r="FHV48" s="66"/>
      <c r="FRM48" s="66"/>
      <c r="FRN48" s="66"/>
      <c r="FRO48" s="66"/>
      <c r="FRP48" s="66"/>
      <c r="FRQ48" s="66"/>
      <c r="FRR48" s="66"/>
      <c r="GBI48" s="66"/>
      <c r="GBJ48" s="66"/>
      <c r="GBK48" s="66"/>
      <c r="GBL48" s="66"/>
      <c r="GBM48" s="66"/>
      <c r="GBN48" s="66"/>
      <c r="GLE48" s="66"/>
      <c r="GLF48" s="66"/>
      <c r="GLG48" s="66"/>
      <c r="GLH48" s="66"/>
      <c r="GLI48" s="66"/>
      <c r="GLJ48" s="66"/>
      <c r="GVA48" s="66"/>
      <c r="GVB48" s="66"/>
      <c r="GVC48" s="66"/>
      <c r="GVD48" s="66"/>
      <c r="GVE48" s="66"/>
      <c r="GVF48" s="66"/>
      <c r="HEW48" s="66"/>
      <c r="HEX48" s="66"/>
      <c r="HEY48" s="66"/>
      <c r="HEZ48" s="66"/>
      <c r="HFA48" s="66"/>
      <c r="HFB48" s="66"/>
      <c r="HOS48" s="66"/>
      <c r="HOT48" s="66"/>
      <c r="HOU48" s="66"/>
      <c r="HOV48" s="66"/>
      <c r="HOW48" s="66"/>
      <c r="HOX48" s="66"/>
      <c r="HYO48" s="66"/>
      <c r="HYP48" s="66"/>
      <c r="HYQ48" s="66"/>
      <c r="HYR48" s="66"/>
      <c r="HYS48" s="66"/>
      <c r="HYT48" s="66"/>
      <c r="IIK48" s="66"/>
      <c r="IIL48" s="66"/>
      <c r="IIM48" s="66"/>
      <c r="IIN48" s="66"/>
      <c r="IIO48" s="66"/>
      <c r="IIP48" s="66"/>
      <c r="ISG48" s="66"/>
      <c r="ISH48" s="66"/>
      <c r="ISI48" s="66"/>
      <c r="ISJ48" s="66"/>
      <c r="ISK48" s="66"/>
      <c r="ISL48" s="66"/>
      <c r="JCC48" s="66"/>
      <c r="JCD48" s="66"/>
      <c r="JCE48" s="66"/>
      <c r="JCF48" s="66"/>
      <c r="JCG48" s="66"/>
      <c r="JCH48" s="66"/>
      <c r="JLY48" s="66"/>
      <c r="JLZ48" s="66"/>
      <c r="JMA48" s="66"/>
      <c r="JMB48" s="66"/>
      <c r="JMC48" s="66"/>
      <c r="JMD48" s="66"/>
      <c r="JVU48" s="66"/>
      <c r="JVV48" s="66"/>
      <c r="JVW48" s="66"/>
      <c r="JVX48" s="66"/>
      <c r="JVY48" s="66"/>
      <c r="JVZ48" s="66"/>
      <c r="KFQ48" s="66"/>
      <c r="KFR48" s="66"/>
      <c r="KFS48" s="66"/>
      <c r="KFT48" s="66"/>
      <c r="KFU48" s="66"/>
      <c r="KFV48" s="66"/>
      <c r="KPM48" s="66"/>
      <c r="KPN48" s="66"/>
      <c r="KPO48" s="66"/>
      <c r="KPP48" s="66"/>
      <c r="KPQ48" s="66"/>
      <c r="KPR48" s="66"/>
      <c r="KZI48" s="66"/>
      <c r="KZJ48" s="66"/>
      <c r="KZK48" s="66"/>
      <c r="KZL48" s="66"/>
      <c r="KZM48" s="66"/>
      <c r="KZN48" s="66"/>
      <c r="LJE48" s="66"/>
      <c r="LJF48" s="66"/>
      <c r="LJG48" s="66"/>
      <c r="LJH48" s="66"/>
      <c r="LJI48" s="66"/>
      <c r="LJJ48" s="66"/>
      <c r="LTA48" s="66"/>
      <c r="LTB48" s="66"/>
      <c r="LTC48" s="66"/>
      <c r="LTD48" s="66"/>
      <c r="LTE48" s="66"/>
      <c r="LTF48" s="66"/>
      <c r="MCW48" s="66"/>
      <c r="MCX48" s="66"/>
      <c r="MCY48" s="66"/>
      <c r="MCZ48" s="66"/>
      <c r="MDA48" s="66"/>
      <c r="MDB48" s="66"/>
      <c r="MMS48" s="66"/>
      <c r="MMT48" s="66"/>
      <c r="MMU48" s="66"/>
      <c r="MMV48" s="66"/>
      <c r="MMW48" s="66"/>
      <c r="MMX48" s="66"/>
      <c r="MWO48" s="66"/>
      <c r="MWP48" s="66"/>
      <c r="MWQ48" s="66"/>
      <c r="MWR48" s="66"/>
      <c r="MWS48" s="66"/>
      <c r="MWT48" s="66"/>
      <c r="NGK48" s="66"/>
      <c r="NGL48" s="66"/>
      <c r="NGM48" s="66"/>
      <c r="NGN48" s="66"/>
      <c r="NGO48" s="66"/>
      <c r="NGP48" s="66"/>
      <c r="NQG48" s="66"/>
      <c r="NQH48" s="66"/>
      <c r="NQI48" s="66"/>
      <c r="NQJ48" s="66"/>
      <c r="NQK48" s="66"/>
      <c r="NQL48" s="66"/>
      <c r="OAC48" s="66"/>
      <c r="OAD48" s="66"/>
      <c r="OAE48" s="66"/>
      <c r="OAF48" s="66"/>
      <c r="OAG48" s="66"/>
      <c r="OAH48" s="66"/>
      <c r="OJY48" s="66"/>
      <c r="OJZ48" s="66"/>
      <c r="OKA48" s="66"/>
      <c r="OKB48" s="66"/>
      <c r="OKC48" s="66"/>
      <c r="OKD48" s="66"/>
      <c r="OTU48" s="66"/>
      <c r="OTV48" s="66"/>
      <c r="OTW48" s="66"/>
      <c r="OTX48" s="66"/>
      <c r="OTY48" s="66"/>
      <c r="OTZ48" s="66"/>
      <c r="PDQ48" s="66"/>
      <c r="PDR48" s="66"/>
      <c r="PDS48" s="66"/>
      <c r="PDT48" s="66"/>
      <c r="PDU48" s="66"/>
      <c r="PDV48" s="66"/>
      <c r="PNM48" s="66"/>
      <c r="PNN48" s="66"/>
      <c r="PNO48" s="66"/>
      <c r="PNP48" s="66"/>
      <c r="PNQ48" s="66"/>
      <c r="PNR48" s="66"/>
      <c r="PXI48" s="66"/>
      <c r="PXJ48" s="66"/>
      <c r="PXK48" s="66"/>
      <c r="PXL48" s="66"/>
      <c r="PXM48" s="66"/>
      <c r="PXN48" s="66"/>
      <c r="QHE48" s="66"/>
      <c r="QHF48" s="66"/>
      <c r="QHG48" s="66"/>
      <c r="QHH48" s="66"/>
      <c r="QHI48" s="66"/>
      <c r="QHJ48" s="66"/>
      <c r="QRA48" s="66"/>
      <c r="QRB48" s="66"/>
      <c r="QRC48" s="66"/>
      <c r="QRD48" s="66"/>
      <c r="QRE48" s="66"/>
      <c r="QRF48" s="66"/>
      <c r="RAW48" s="66"/>
      <c r="RAX48" s="66"/>
      <c r="RAY48" s="66"/>
      <c r="RAZ48" s="66"/>
      <c r="RBA48" s="66"/>
      <c r="RBB48" s="66"/>
      <c r="RKS48" s="66"/>
      <c r="RKT48" s="66"/>
      <c r="RKU48" s="66"/>
      <c r="RKV48" s="66"/>
      <c r="RKW48" s="66"/>
      <c r="RKX48" s="66"/>
      <c r="RUO48" s="66"/>
      <c r="RUP48" s="66"/>
      <c r="RUQ48" s="66"/>
      <c r="RUR48" s="66"/>
      <c r="RUS48" s="66"/>
      <c r="RUT48" s="66"/>
      <c r="SEK48" s="66"/>
      <c r="SEL48" s="66"/>
      <c r="SEM48" s="66"/>
      <c r="SEN48" s="66"/>
      <c r="SEO48" s="66"/>
      <c r="SEP48" s="66"/>
      <c r="SOG48" s="66"/>
      <c r="SOH48" s="66"/>
      <c r="SOI48" s="66"/>
      <c r="SOJ48" s="66"/>
      <c r="SOK48" s="66"/>
      <c r="SOL48" s="66"/>
      <c r="SYC48" s="66"/>
      <c r="SYD48" s="66"/>
      <c r="SYE48" s="66"/>
      <c r="SYF48" s="66"/>
      <c r="SYG48" s="66"/>
      <c r="SYH48" s="66"/>
      <c r="THY48" s="66"/>
      <c r="THZ48" s="66"/>
      <c r="TIA48" s="66"/>
      <c r="TIB48" s="66"/>
      <c r="TIC48" s="66"/>
      <c r="TID48" s="66"/>
      <c r="TRU48" s="66"/>
      <c r="TRV48" s="66"/>
      <c r="TRW48" s="66"/>
      <c r="TRX48" s="66"/>
      <c r="TRY48" s="66"/>
      <c r="TRZ48" s="66"/>
      <c r="UBQ48" s="66"/>
      <c r="UBR48" s="66"/>
      <c r="UBS48" s="66"/>
      <c r="UBT48" s="66"/>
      <c r="UBU48" s="66"/>
      <c r="UBV48" s="66"/>
      <c r="ULM48" s="66"/>
      <c r="ULN48" s="66"/>
      <c r="ULO48" s="66"/>
      <c r="ULP48" s="66"/>
      <c r="ULQ48" s="66"/>
      <c r="ULR48" s="66"/>
      <c r="UVI48" s="66"/>
      <c r="UVJ48" s="66"/>
      <c r="UVK48" s="66"/>
      <c r="UVL48" s="66"/>
      <c r="UVM48" s="66"/>
      <c r="UVN48" s="66"/>
      <c r="VFE48" s="66"/>
      <c r="VFF48" s="66"/>
      <c r="VFG48" s="66"/>
      <c r="VFH48" s="66"/>
      <c r="VFI48" s="66"/>
      <c r="VFJ48" s="66"/>
      <c r="VPA48" s="66"/>
      <c r="VPB48" s="66"/>
      <c r="VPC48" s="66"/>
      <c r="VPD48" s="66"/>
      <c r="VPE48" s="66"/>
      <c r="VPF48" s="66"/>
      <c r="VYW48" s="66"/>
      <c r="VYX48" s="66"/>
      <c r="VYY48" s="66"/>
      <c r="VYZ48" s="66"/>
      <c r="VZA48" s="66"/>
      <c r="VZB48" s="66"/>
      <c r="WIS48" s="66"/>
      <c r="WIT48" s="66"/>
      <c r="WIU48" s="66"/>
      <c r="WIV48" s="66"/>
      <c r="WIW48" s="66"/>
      <c r="WIX48" s="66"/>
      <c r="WSO48" s="66"/>
      <c r="WSP48" s="66"/>
      <c r="WSQ48" s="66"/>
      <c r="WSR48" s="66"/>
      <c r="WSS48" s="66"/>
      <c r="WST48" s="66"/>
    </row>
    <row r="49" spans="1:958 1209:1982 2233:3006 3257:4030 4281:5054 5305:6078 6329:7102 7353:8126 8377:9150 9401:10174 10425:11198 11449:12222 12473:13246 13497:14270 14521:15294 15545:16062" s="64" customFormat="1" ht="15.75" x14ac:dyDescent="0.25">
      <c r="A49" s="82" t="s">
        <v>478</v>
      </c>
      <c r="B49" s="83" t="s">
        <v>586</v>
      </c>
      <c r="C49" s="83"/>
      <c r="D49" s="259">
        <f t="shared" si="0"/>
        <v>10930452.68</v>
      </c>
      <c r="E49" s="259">
        <f t="shared" si="0"/>
        <v>0</v>
      </c>
      <c r="F49" s="259">
        <f t="shared" si="0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GC49" s="66"/>
      <c r="GD49" s="66"/>
      <c r="GE49" s="66"/>
      <c r="GF49" s="66"/>
      <c r="GG49" s="66"/>
      <c r="GH49" s="66"/>
      <c r="PY49" s="66"/>
      <c r="PZ49" s="66"/>
      <c r="QA49" s="66"/>
      <c r="QB49" s="66"/>
      <c r="QC49" s="66"/>
      <c r="QD49" s="66"/>
      <c r="ZU49" s="66"/>
      <c r="ZV49" s="66"/>
      <c r="ZW49" s="66"/>
      <c r="ZX49" s="66"/>
      <c r="ZY49" s="66"/>
      <c r="ZZ49" s="66"/>
      <c r="AJQ49" s="66"/>
      <c r="AJR49" s="66"/>
      <c r="AJS49" s="66"/>
      <c r="AJT49" s="66"/>
      <c r="AJU49" s="66"/>
      <c r="AJV49" s="66"/>
      <c r="ATM49" s="66"/>
      <c r="ATN49" s="66"/>
      <c r="ATO49" s="66"/>
      <c r="ATP49" s="66"/>
      <c r="ATQ49" s="66"/>
      <c r="ATR49" s="66"/>
      <c r="BDI49" s="66"/>
      <c r="BDJ49" s="66"/>
      <c r="BDK49" s="66"/>
      <c r="BDL49" s="66"/>
      <c r="BDM49" s="66"/>
      <c r="BDN49" s="66"/>
      <c r="BNE49" s="66"/>
      <c r="BNF49" s="66"/>
      <c r="BNG49" s="66"/>
      <c r="BNH49" s="66"/>
      <c r="BNI49" s="66"/>
      <c r="BNJ49" s="66"/>
      <c r="BXA49" s="66"/>
      <c r="BXB49" s="66"/>
      <c r="BXC49" s="66"/>
      <c r="BXD49" s="66"/>
      <c r="BXE49" s="66"/>
      <c r="BXF49" s="66"/>
      <c r="CGW49" s="66"/>
      <c r="CGX49" s="66"/>
      <c r="CGY49" s="66"/>
      <c r="CGZ49" s="66"/>
      <c r="CHA49" s="66"/>
      <c r="CHB49" s="66"/>
      <c r="CQS49" s="66"/>
      <c r="CQT49" s="66"/>
      <c r="CQU49" s="66"/>
      <c r="CQV49" s="66"/>
      <c r="CQW49" s="66"/>
      <c r="CQX49" s="66"/>
      <c r="DAO49" s="66"/>
      <c r="DAP49" s="66"/>
      <c r="DAQ49" s="66"/>
      <c r="DAR49" s="66"/>
      <c r="DAS49" s="66"/>
      <c r="DAT49" s="66"/>
      <c r="DKK49" s="66"/>
      <c r="DKL49" s="66"/>
      <c r="DKM49" s="66"/>
      <c r="DKN49" s="66"/>
      <c r="DKO49" s="66"/>
      <c r="DKP49" s="66"/>
      <c r="DUG49" s="66"/>
      <c r="DUH49" s="66"/>
      <c r="DUI49" s="66"/>
      <c r="DUJ49" s="66"/>
      <c r="DUK49" s="66"/>
      <c r="DUL49" s="66"/>
      <c r="EEC49" s="66"/>
      <c r="EED49" s="66"/>
      <c r="EEE49" s="66"/>
      <c r="EEF49" s="66"/>
      <c r="EEG49" s="66"/>
      <c r="EEH49" s="66"/>
      <c r="ENY49" s="66"/>
      <c r="ENZ49" s="66"/>
      <c r="EOA49" s="66"/>
      <c r="EOB49" s="66"/>
      <c r="EOC49" s="66"/>
      <c r="EOD49" s="66"/>
      <c r="EXU49" s="66"/>
      <c r="EXV49" s="66"/>
      <c r="EXW49" s="66"/>
      <c r="EXX49" s="66"/>
      <c r="EXY49" s="66"/>
      <c r="EXZ49" s="66"/>
      <c r="FHQ49" s="66"/>
      <c r="FHR49" s="66"/>
      <c r="FHS49" s="66"/>
      <c r="FHT49" s="66"/>
      <c r="FHU49" s="66"/>
      <c r="FHV49" s="66"/>
      <c r="FRM49" s="66"/>
      <c r="FRN49" s="66"/>
      <c r="FRO49" s="66"/>
      <c r="FRP49" s="66"/>
      <c r="FRQ49" s="66"/>
      <c r="FRR49" s="66"/>
      <c r="GBI49" s="66"/>
      <c r="GBJ49" s="66"/>
      <c r="GBK49" s="66"/>
      <c r="GBL49" s="66"/>
      <c r="GBM49" s="66"/>
      <c r="GBN49" s="66"/>
      <c r="GLE49" s="66"/>
      <c r="GLF49" s="66"/>
      <c r="GLG49" s="66"/>
      <c r="GLH49" s="66"/>
      <c r="GLI49" s="66"/>
      <c r="GLJ49" s="66"/>
      <c r="GVA49" s="66"/>
      <c r="GVB49" s="66"/>
      <c r="GVC49" s="66"/>
      <c r="GVD49" s="66"/>
      <c r="GVE49" s="66"/>
      <c r="GVF49" s="66"/>
      <c r="HEW49" s="66"/>
      <c r="HEX49" s="66"/>
      <c r="HEY49" s="66"/>
      <c r="HEZ49" s="66"/>
      <c r="HFA49" s="66"/>
      <c r="HFB49" s="66"/>
      <c r="HOS49" s="66"/>
      <c r="HOT49" s="66"/>
      <c r="HOU49" s="66"/>
      <c r="HOV49" s="66"/>
      <c r="HOW49" s="66"/>
      <c r="HOX49" s="66"/>
      <c r="HYO49" s="66"/>
      <c r="HYP49" s="66"/>
      <c r="HYQ49" s="66"/>
      <c r="HYR49" s="66"/>
      <c r="HYS49" s="66"/>
      <c r="HYT49" s="66"/>
      <c r="IIK49" s="66"/>
      <c r="IIL49" s="66"/>
      <c r="IIM49" s="66"/>
      <c r="IIN49" s="66"/>
      <c r="IIO49" s="66"/>
      <c r="IIP49" s="66"/>
      <c r="ISG49" s="66"/>
      <c r="ISH49" s="66"/>
      <c r="ISI49" s="66"/>
      <c r="ISJ49" s="66"/>
      <c r="ISK49" s="66"/>
      <c r="ISL49" s="66"/>
      <c r="JCC49" s="66"/>
      <c r="JCD49" s="66"/>
      <c r="JCE49" s="66"/>
      <c r="JCF49" s="66"/>
      <c r="JCG49" s="66"/>
      <c r="JCH49" s="66"/>
      <c r="JLY49" s="66"/>
      <c r="JLZ49" s="66"/>
      <c r="JMA49" s="66"/>
      <c r="JMB49" s="66"/>
      <c r="JMC49" s="66"/>
      <c r="JMD49" s="66"/>
      <c r="JVU49" s="66"/>
      <c r="JVV49" s="66"/>
      <c r="JVW49" s="66"/>
      <c r="JVX49" s="66"/>
      <c r="JVY49" s="66"/>
      <c r="JVZ49" s="66"/>
      <c r="KFQ49" s="66"/>
      <c r="KFR49" s="66"/>
      <c r="KFS49" s="66"/>
      <c r="KFT49" s="66"/>
      <c r="KFU49" s="66"/>
      <c r="KFV49" s="66"/>
      <c r="KPM49" s="66"/>
      <c r="KPN49" s="66"/>
      <c r="KPO49" s="66"/>
      <c r="KPP49" s="66"/>
      <c r="KPQ49" s="66"/>
      <c r="KPR49" s="66"/>
      <c r="KZI49" s="66"/>
      <c r="KZJ49" s="66"/>
      <c r="KZK49" s="66"/>
      <c r="KZL49" s="66"/>
      <c r="KZM49" s="66"/>
      <c r="KZN49" s="66"/>
      <c r="LJE49" s="66"/>
      <c r="LJF49" s="66"/>
      <c r="LJG49" s="66"/>
      <c r="LJH49" s="66"/>
      <c r="LJI49" s="66"/>
      <c r="LJJ49" s="66"/>
      <c r="LTA49" s="66"/>
      <c r="LTB49" s="66"/>
      <c r="LTC49" s="66"/>
      <c r="LTD49" s="66"/>
      <c r="LTE49" s="66"/>
      <c r="LTF49" s="66"/>
      <c r="MCW49" s="66"/>
      <c r="MCX49" s="66"/>
      <c r="MCY49" s="66"/>
      <c r="MCZ49" s="66"/>
      <c r="MDA49" s="66"/>
      <c r="MDB49" s="66"/>
      <c r="MMS49" s="66"/>
      <c r="MMT49" s="66"/>
      <c r="MMU49" s="66"/>
      <c r="MMV49" s="66"/>
      <c r="MMW49" s="66"/>
      <c r="MMX49" s="66"/>
      <c r="MWO49" s="66"/>
      <c r="MWP49" s="66"/>
      <c r="MWQ49" s="66"/>
      <c r="MWR49" s="66"/>
      <c r="MWS49" s="66"/>
      <c r="MWT49" s="66"/>
      <c r="NGK49" s="66"/>
      <c r="NGL49" s="66"/>
      <c r="NGM49" s="66"/>
      <c r="NGN49" s="66"/>
      <c r="NGO49" s="66"/>
      <c r="NGP49" s="66"/>
      <c r="NQG49" s="66"/>
      <c r="NQH49" s="66"/>
      <c r="NQI49" s="66"/>
      <c r="NQJ49" s="66"/>
      <c r="NQK49" s="66"/>
      <c r="NQL49" s="66"/>
      <c r="OAC49" s="66"/>
      <c r="OAD49" s="66"/>
      <c r="OAE49" s="66"/>
      <c r="OAF49" s="66"/>
      <c r="OAG49" s="66"/>
      <c r="OAH49" s="66"/>
      <c r="OJY49" s="66"/>
      <c r="OJZ49" s="66"/>
      <c r="OKA49" s="66"/>
      <c r="OKB49" s="66"/>
      <c r="OKC49" s="66"/>
      <c r="OKD49" s="66"/>
      <c r="OTU49" s="66"/>
      <c r="OTV49" s="66"/>
      <c r="OTW49" s="66"/>
      <c r="OTX49" s="66"/>
      <c r="OTY49" s="66"/>
      <c r="OTZ49" s="66"/>
      <c r="PDQ49" s="66"/>
      <c r="PDR49" s="66"/>
      <c r="PDS49" s="66"/>
      <c r="PDT49" s="66"/>
      <c r="PDU49" s="66"/>
      <c r="PDV49" s="66"/>
      <c r="PNM49" s="66"/>
      <c r="PNN49" s="66"/>
      <c r="PNO49" s="66"/>
      <c r="PNP49" s="66"/>
      <c r="PNQ49" s="66"/>
      <c r="PNR49" s="66"/>
      <c r="PXI49" s="66"/>
      <c r="PXJ49" s="66"/>
      <c r="PXK49" s="66"/>
      <c r="PXL49" s="66"/>
      <c r="PXM49" s="66"/>
      <c r="PXN49" s="66"/>
      <c r="QHE49" s="66"/>
      <c r="QHF49" s="66"/>
      <c r="QHG49" s="66"/>
      <c r="QHH49" s="66"/>
      <c r="QHI49" s="66"/>
      <c r="QHJ49" s="66"/>
      <c r="QRA49" s="66"/>
      <c r="QRB49" s="66"/>
      <c r="QRC49" s="66"/>
      <c r="QRD49" s="66"/>
      <c r="QRE49" s="66"/>
      <c r="QRF49" s="66"/>
      <c r="RAW49" s="66"/>
      <c r="RAX49" s="66"/>
      <c r="RAY49" s="66"/>
      <c r="RAZ49" s="66"/>
      <c r="RBA49" s="66"/>
      <c r="RBB49" s="66"/>
      <c r="RKS49" s="66"/>
      <c r="RKT49" s="66"/>
      <c r="RKU49" s="66"/>
      <c r="RKV49" s="66"/>
      <c r="RKW49" s="66"/>
      <c r="RKX49" s="66"/>
      <c r="RUO49" s="66"/>
      <c r="RUP49" s="66"/>
      <c r="RUQ49" s="66"/>
      <c r="RUR49" s="66"/>
      <c r="RUS49" s="66"/>
      <c r="RUT49" s="66"/>
      <c r="SEK49" s="66"/>
      <c r="SEL49" s="66"/>
      <c r="SEM49" s="66"/>
      <c r="SEN49" s="66"/>
      <c r="SEO49" s="66"/>
      <c r="SEP49" s="66"/>
      <c r="SOG49" s="66"/>
      <c r="SOH49" s="66"/>
      <c r="SOI49" s="66"/>
      <c r="SOJ49" s="66"/>
      <c r="SOK49" s="66"/>
      <c r="SOL49" s="66"/>
      <c r="SYC49" s="66"/>
      <c r="SYD49" s="66"/>
      <c r="SYE49" s="66"/>
      <c r="SYF49" s="66"/>
      <c r="SYG49" s="66"/>
      <c r="SYH49" s="66"/>
      <c r="THY49" s="66"/>
      <c r="THZ49" s="66"/>
      <c r="TIA49" s="66"/>
      <c r="TIB49" s="66"/>
      <c r="TIC49" s="66"/>
      <c r="TID49" s="66"/>
      <c r="TRU49" s="66"/>
      <c r="TRV49" s="66"/>
      <c r="TRW49" s="66"/>
      <c r="TRX49" s="66"/>
      <c r="TRY49" s="66"/>
      <c r="TRZ49" s="66"/>
      <c r="UBQ49" s="66"/>
      <c r="UBR49" s="66"/>
      <c r="UBS49" s="66"/>
      <c r="UBT49" s="66"/>
      <c r="UBU49" s="66"/>
      <c r="UBV49" s="66"/>
      <c r="ULM49" s="66"/>
      <c r="ULN49" s="66"/>
      <c r="ULO49" s="66"/>
      <c r="ULP49" s="66"/>
      <c r="ULQ49" s="66"/>
      <c r="ULR49" s="66"/>
      <c r="UVI49" s="66"/>
      <c r="UVJ49" s="66"/>
      <c r="UVK49" s="66"/>
      <c r="UVL49" s="66"/>
      <c r="UVM49" s="66"/>
      <c r="UVN49" s="66"/>
      <c r="VFE49" s="66"/>
      <c r="VFF49" s="66"/>
      <c r="VFG49" s="66"/>
      <c r="VFH49" s="66"/>
      <c r="VFI49" s="66"/>
      <c r="VFJ49" s="66"/>
      <c r="VPA49" s="66"/>
      <c r="VPB49" s="66"/>
      <c r="VPC49" s="66"/>
      <c r="VPD49" s="66"/>
      <c r="VPE49" s="66"/>
      <c r="VPF49" s="66"/>
      <c r="VYW49" s="66"/>
      <c r="VYX49" s="66"/>
      <c r="VYY49" s="66"/>
      <c r="VYZ49" s="66"/>
      <c r="VZA49" s="66"/>
      <c r="VZB49" s="66"/>
      <c r="WIS49" s="66"/>
      <c r="WIT49" s="66"/>
      <c r="WIU49" s="66"/>
      <c r="WIV49" s="66"/>
      <c r="WIW49" s="66"/>
      <c r="WIX49" s="66"/>
      <c r="WSO49" s="66"/>
      <c r="WSP49" s="66"/>
      <c r="WSQ49" s="66"/>
      <c r="WSR49" s="66"/>
      <c r="WSS49" s="66"/>
      <c r="WST49" s="66"/>
    </row>
    <row r="50" spans="1:958 1209:1982 2233:3006 3257:4030 4281:5054 5305:6078 6329:7102 7353:8126 8377:9150 9401:10174 10425:11198 11449:12222 12473:13246 13497:14270 14521:15294 15545:16062" ht="30.75" x14ac:dyDescent="0.25">
      <c r="A50" s="72" t="s">
        <v>170</v>
      </c>
      <c r="B50" s="84" t="s">
        <v>586</v>
      </c>
      <c r="C50" s="84" t="s">
        <v>181</v>
      </c>
      <c r="D50" s="310">
        <f>'Приложение 4'!F238</f>
        <v>10930452.68</v>
      </c>
      <c r="E50" s="310">
        <f>'Приложение 4'!G238</f>
        <v>0</v>
      </c>
      <c r="F50" s="310">
        <f>'Приложение 4'!H238</f>
        <v>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958 1209:1982 2233:3006 3257:4030 4281:5054 5305:6078 6329:7102 7353:8126 8377:9150 9401:10174 10425:11198 11449:12222 12473:13246 13497:14270 14521:15294 15545:16062" ht="31.5" x14ac:dyDescent="0.25">
      <c r="A51" s="80" t="s">
        <v>188</v>
      </c>
      <c r="B51" s="81" t="s">
        <v>481</v>
      </c>
      <c r="C51" s="81"/>
      <c r="D51" s="74">
        <f>D52+D55</f>
        <v>148486671.43999997</v>
      </c>
      <c r="E51" s="74">
        <f>E52+E55</f>
        <v>143956490.74000001</v>
      </c>
      <c r="F51" s="74">
        <f>F52+F55</f>
        <v>143956490.74000001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958 1209:1982 2233:3006 3257:4030 4281:5054 5305:6078 6329:7102 7353:8126 8377:9150 9401:10174 10425:11198 11449:12222 12473:13246 13497:14270 14521:15294 15545:16062" s="64" customFormat="1" ht="15.75" x14ac:dyDescent="0.25">
      <c r="A52" s="82" t="s">
        <v>478</v>
      </c>
      <c r="B52" s="83" t="s">
        <v>482</v>
      </c>
      <c r="C52" s="83"/>
      <c r="D52" s="259">
        <f>SUM(D53:D54)</f>
        <v>15190105.17</v>
      </c>
      <c r="E52" s="259">
        <f>SUM(E53:E54)</f>
        <v>16000000</v>
      </c>
      <c r="F52" s="259">
        <f>SUM(F53:F54)</f>
        <v>16000000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GC52" s="66"/>
      <c r="GD52" s="66"/>
      <c r="GE52" s="66"/>
      <c r="GF52" s="66"/>
      <c r="GG52" s="66"/>
      <c r="GH52" s="66"/>
      <c r="PY52" s="66"/>
      <c r="PZ52" s="66"/>
      <c r="QA52" s="66"/>
      <c r="QB52" s="66"/>
      <c r="QC52" s="66"/>
      <c r="QD52" s="66"/>
      <c r="ZU52" s="66"/>
      <c r="ZV52" s="66"/>
      <c r="ZW52" s="66"/>
      <c r="ZX52" s="66"/>
      <c r="ZY52" s="66"/>
      <c r="ZZ52" s="66"/>
      <c r="AJQ52" s="66"/>
      <c r="AJR52" s="66"/>
      <c r="AJS52" s="66"/>
      <c r="AJT52" s="66"/>
      <c r="AJU52" s="66"/>
      <c r="AJV52" s="66"/>
      <c r="ATM52" s="66"/>
      <c r="ATN52" s="66"/>
      <c r="ATO52" s="66"/>
      <c r="ATP52" s="66"/>
      <c r="ATQ52" s="66"/>
      <c r="ATR52" s="66"/>
      <c r="BDI52" s="66"/>
      <c r="BDJ52" s="66"/>
      <c r="BDK52" s="66"/>
      <c r="BDL52" s="66"/>
      <c r="BDM52" s="66"/>
      <c r="BDN52" s="66"/>
      <c r="BNE52" s="66"/>
      <c r="BNF52" s="66"/>
      <c r="BNG52" s="66"/>
      <c r="BNH52" s="66"/>
      <c r="BNI52" s="66"/>
      <c r="BNJ52" s="66"/>
      <c r="BXA52" s="66"/>
      <c r="BXB52" s="66"/>
      <c r="BXC52" s="66"/>
      <c r="BXD52" s="66"/>
      <c r="BXE52" s="66"/>
      <c r="BXF52" s="66"/>
      <c r="CGW52" s="66"/>
      <c r="CGX52" s="66"/>
      <c r="CGY52" s="66"/>
      <c r="CGZ52" s="66"/>
      <c r="CHA52" s="66"/>
      <c r="CHB52" s="66"/>
      <c r="CQS52" s="66"/>
      <c r="CQT52" s="66"/>
      <c r="CQU52" s="66"/>
      <c r="CQV52" s="66"/>
      <c r="CQW52" s="66"/>
      <c r="CQX52" s="66"/>
      <c r="DAO52" s="66"/>
      <c r="DAP52" s="66"/>
      <c r="DAQ52" s="66"/>
      <c r="DAR52" s="66"/>
      <c r="DAS52" s="66"/>
      <c r="DAT52" s="66"/>
      <c r="DKK52" s="66"/>
      <c r="DKL52" s="66"/>
      <c r="DKM52" s="66"/>
      <c r="DKN52" s="66"/>
      <c r="DKO52" s="66"/>
      <c r="DKP52" s="66"/>
      <c r="DUG52" s="66"/>
      <c r="DUH52" s="66"/>
      <c r="DUI52" s="66"/>
      <c r="DUJ52" s="66"/>
      <c r="DUK52" s="66"/>
      <c r="DUL52" s="66"/>
      <c r="EEC52" s="66"/>
      <c r="EED52" s="66"/>
      <c r="EEE52" s="66"/>
      <c r="EEF52" s="66"/>
      <c r="EEG52" s="66"/>
      <c r="EEH52" s="66"/>
      <c r="ENY52" s="66"/>
      <c r="ENZ52" s="66"/>
      <c r="EOA52" s="66"/>
      <c r="EOB52" s="66"/>
      <c r="EOC52" s="66"/>
      <c r="EOD52" s="66"/>
      <c r="EXU52" s="66"/>
      <c r="EXV52" s="66"/>
      <c r="EXW52" s="66"/>
      <c r="EXX52" s="66"/>
      <c r="EXY52" s="66"/>
      <c r="EXZ52" s="66"/>
      <c r="FHQ52" s="66"/>
      <c r="FHR52" s="66"/>
      <c r="FHS52" s="66"/>
      <c r="FHT52" s="66"/>
      <c r="FHU52" s="66"/>
      <c r="FHV52" s="66"/>
      <c r="FRM52" s="66"/>
      <c r="FRN52" s="66"/>
      <c r="FRO52" s="66"/>
      <c r="FRP52" s="66"/>
      <c r="FRQ52" s="66"/>
      <c r="FRR52" s="66"/>
      <c r="GBI52" s="66"/>
      <c r="GBJ52" s="66"/>
      <c r="GBK52" s="66"/>
      <c r="GBL52" s="66"/>
      <c r="GBM52" s="66"/>
      <c r="GBN52" s="66"/>
      <c r="GLE52" s="66"/>
      <c r="GLF52" s="66"/>
      <c r="GLG52" s="66"/>
      <c r="GLH52" s="66"/>
      <c r="GLI52" s="66"/>
      <c r="GLJ52" s="66"/>
      <c r="GVA52" s="66"/>
      <c r="GVB52" s="66"/>
      <c r="GVC52" s="66"/>
      <c r="GVD52" s="66"/>
      <c r="GVE52" s="66"/>
      <c r="GVF52" s="66"/>
      <c r="HEW52" s="66"/>
      <c r="HEX52" s="66"/>
      <c r="HEY52" s="66"/>
      <c r="HEZ52" s="66"/>
      <c r="HFA52" s="66"/>
      <c r="HFB52" s="66"/>
      <c r="HOS52" s="66"/>
      <c r="HOT52" s="66"/>
      <c r="HOU52" s="66"/>
      <c r="HOV52" s="66"/>
      <c r="HOW52" s="66"/>
      <c r="HOX52" s="66"/>
      <c r="HYO52" s="66"/>
      <c r="HYP52" s="66"/>
      <c r="HYQ52" s="66"/>
      <c r="HYR52" s="66"/>
      <c r="HYS52" s="66"/>
      <c r="HYT52" s="66"/>
      <c r="IIK52" s="66"/>
      <c r="IIL52" s="66"/>
      <c r="IIM52" s="66"/>
      <c r="IIN52" s="66"/>
      <c r="IIO52" s="66"/>
      <c r="IIP52" s="66"/>
      <c r="ISG52" s="66"/>
      <c r="ISH52" s="66"/>
      <c r="ISI52" s="66"/>
      <c r="ISJ52" s="66"/>
      <c r="ISK52" s="66"/>
      <c r="ISL52" s="66"/>
      <c r="JCC52" s="66"/>
      <c r="JCD52" s="66"/>
      <c r="JCE52" s="66"/>
      <c r="JCF52" s="66"/>
      <c r="JCG52" s="66"/>
      <c r="JCH52" s="66"/>
      <c r="JLY52" s="66"/>
      <c r="JLZ52" s="66"/>
      <c r="JMA52" s="66"/>
      <c r="JMB52" s="66"/>
      <c r="JMC52" s="66"/>
      <c r="JMD52" s="66"/>
      <c r="JVU52" s="66"/>
      <c r="JVV52" s="66"/>
      <c r="JVW52" s="66"/>
      <c r="JVX52" s="66"/>
      <c r="JVY52" s="66"/>
      <c r="JVZ52" s="66"/>
      <c r="KFQ52" s="66"/>
      <c r="KFR52" s="66"/>
      <c r="KFS52" s="66"/>
      <c r="KFT52" s="66"/>
      <c r="KFU52" s="66"/>
      <c r="KFV52" s="66"/>
      <c r="KPM52" s="66"/>
      <c r="KPN52" s="66"/>
      <c r="KPO52" s="66"/>
      <c r="KPP52" s="66"/>
      <c r="KPQ52" s="66"/>
      <c r="KPR52" s="66"/>
      <c r="KZI52" s="66"/>
      <c r="KZJ52" s="66"/>
      <c r="KZK52" s="66"/>
      <c r="KZL52" s="66"/>
      <c r="KZM52" s="66"/>
      <c r="KZN52" s="66"/>
      <c r="LJE52" s="66"/>
      <c r="LJF52" s="66"/>
      <c r="LJG52" s="66"/>
      <c r="LJH52" s="66"/>
      <c r="LJI52" s="66"/>
      <c r="LJJ52" s="66"/>
      <c r="LTA52" s="66"/>
      <c r="LTB52" s="66"/>
      <c r="LTC52" s="66"/>
      <c r="LTD52" s="66"/>
      <c r="LTE52" s="66"/>
      <c r="LTF52" s="66"/>
      <c r="MCW52" s="66"/>
      <c r="MCX52" s="66"/>
      <c r="MCY52" s="66"/>
      <c r="MCZ52" s="66"/>
      <c r="MDA52" s="66"/>
      <c r="MDB52" s="66"/>
      <c r="MMS52" s="66"/>
      <c r="MMT52" s="66"/>
      <c r="MMU52" s="66"/>
      <c r="MMV52" s="66"/>
      <c r="MMW52" s="66"/>
      <c r="MMX52" s="66"/>
      <c r="MWO52" s="66"/>
      <c r="MWP52" s="66"/>
      <c r="MWQ52" s="66"/>
      <c r="MWR52" s="66"/>
      <c r="MWS52" s="66"/>
      <c r="MWT52" s="66"/>
      <c r="NGK52" s="66"/>
      <c r="NGL52" s="66"/>
      <c r="NGM52" s="66"/>
      <c r="NGN52" s="66"/>
      <c r="NGO52" s="66"/>
      <c r="NGP52" s="66"/>
      <c r="NQG52" s="66"/>
      <c r="NQH52" s="66"/>
      <c r="NQI52" s="66"/>
      <c r="NQJ52" s="66"/>
      <c r="NQK52" s="66"/>
      <c r="NQL52" s="66"/>
      <c r="OAC52" s="66"/>
      <c r="OAD52" s="66"/>
      <c r="OAE52" s="66"/>
      <c r="OAF52" s="66"/>
      <c r="OAG52" s="66"/>
      <c r="OAH52" s="66"/>
      <c r="OJY52" s="66"/>
      <c r="OJZ52" s="66"/>
      <c r="OKA52" s="66"/>
      <c r="OKB52" s="66"/>
      <c r="OKC52" s="66"/>
      <c r="OKD52" s="66"/>
      <c r="OTU52" s="66"/>
      <c r="OTV52" s="66"/>
      <c r="OTW52" s="66"/>
      <c r="OTX52" s="66"/>
      <c r="OTY52" s="66"/>
      <c r="OTZ52" s="66"/>
      <c r="PDQ52" s="66"/>
      <c r="PDR52" s="66"/>
      <c r="PDS52" s="66"/>
      <c r="PDT52" s="66"/>
      <c r="PDU52" s="66"/>
      <c r="PDV52" s="66"/>
      <c r="PNM52" s="66"/>
      <c r="PNN52" s="66"/>
      <c r="PNO52" s="66"/>
      <c r="PNP52" s="66"/>
      <c r="PNQ52" s="66"/>
      <c r="PNR52" s="66"/>
      <c r="PXI52" s="66"/>
      <c r="PXJ52" s="66"/>
      <c r="PXK52" s="66"/>
      <c r="PXL52" s="66"/>
      <c r="PXM52" s="66"/>
      <c r="PXN52" s="66"/>
      <c r="QHE52" s="66"/>
      <c r="QHF52" s="66"/>
      <c r="QHG52" s="66"/>
      <c r="QHH52" s="66"/>
      <c r="QHI52" s="66"/>
      <c r="QHJ52" s="66"/>
      <c r="QRA52" s="66"/>
      <c r="QRB52" s="66"/>
      <c r="QRC52" s="66"/>
      <c r="QRD52" s="66"/>
      <c r="QRE52" s="66"/>
      <c r="QRF52" s="66"/>
      <c r="RAW52" s="66"/>
      <c r="RAX52" s="66"/>
      <c r="RAY52" s="66"/>
      <c r="RAZ52" s="66"/>
      <c r="RBA52" s="66"/>
      <c r="RBB52" s="66"/>
      <c r="RKS52" s="66"/>
      <c r="RKT52" s="66"/>
      <c r="RKU52" s="66"/>
      <c r="RKV52" s="66"/>
      <c r="RKW52" s="66"/>
      <c r="RKX52" s="66"/>
      <c r="RUO52" s="66"/>
      <c r="RUP52" s="66"/>
      <c r="RUQ52" s="66"/>
      <c r="RUR52" s="66"/>
      <c r="RUS52" s="66"/>
      <c r="RUT52" s="66"/>
      <c r="SEK52" s="66"/>
      <c r="SEL52" s="66"/>
      <c r="SEM52" s="66"/>
      <c r="SEN52" s="66"/>
      <c r="SEO52" s="66"/>
      <c r="SEP52" s="66"/>
      <c r="SOG52" s="66"/>
      <c r="SOH52" s="66"/>
      <c r="SOI52" s="66"/>
      <c r="SOJ52" s="66"/>
      <c r="SOK52" s="66"/>
      <c r="SOL52" s="66"/>
      <c r="SYC52" s="66"/>
      <c r="SYD52" s="66"/>
      <c r="SYE52" s="66"/>
      <c r="SYF52" s="66"/>
      <c r="SYG52" s="66"/>
      <c r="SYH52" s="66"/>
      <c r="THY52" s="66"/>
      <c r="THZ52" s="66"/>
      <c r="TIA52" s="66"/>
      <c r="TIB52" s="66"/>
      <c r="TIC52" s="66"/>
      <c r="TID52" s="66"/>
      <c r="TRU52" s="66"/>
      <c r="TRV52" s="66"/>
      <c r="TRW52" s="66"/>
      <c r="TRX52" s="66"/>
      <c r="TRY52" s="66"/>
      <c r="TRZ52" s="66"/>
      <c r="UBQ52" s="66"/>
      <c r="UBR52" s="66"/>
      <c r="UBS52" s="66"/>
      <c r="UBT52" s="66"/>
      <c r="UBU52" s="66"/>
      <c r="UBV52" s="66"/>
      <c r="ULM52" s="66"/>
      <c r="ULN52" s="66"/>
      <c r="ULO52" s="66"/>
      <c r="ULP52" s="66"/>
      <c r="ULQ52" s="66"/>
      <c r="ULR52" s="66"/>
      <c r="UVI52" s="66"/>
      <c r="UVJ52" s="66"/>
      <c r="UVK52" s="66"/>
      <c r="UVL52" s="66"/>
      <c r="UVM52" s="66"/>
      <c r="UVN52" s="66"/>
      <c r="VFE52" s="66"/>
      <c r="VFF52" s="66"/>
      <c r="VFG52" s="66"/>
      <c r="VFH52" s="66"/>
      <c r="VFI52" s="66"/>
      <c r="VFJ52" s="66"/>
      <c r="VPA52" s="66"/>
      <c r="VPB52" s="66"/>
      <c r="VPC52" s="66"/>
      <c r="VPD52" s="66"/>
      <c r="VPE52" s="66"/>
      <c r="VPF52" s="66"/>
      <c r="VYW52" s="66"/>
      <c r="VYX52" s="66"/>
      <c r="VYY52" s="66"/>
      <c r="VYZ52" s="66"/>
      <c r="VZA52" s="66"/>
      <c r="VZB52" s="66"/>
      <c r="WIS52" s="66"/>
      <c r="WIT52" s="66"/>
      <c r="WIU52" s="66"/>
      <c r="WIV52" s="66"/>
      <c r="WIW52" s="66"/>
      <c r="WIX52" s="66"/>
      <c r="WSO52" s="66"/>
      <c r="WSP52" s="66"/>
      <c r="WSQ52" s="66"/>
      <c r="WSR52" s="66"/>
      <c r="WSS52" s="66"/>
      <c r="WST52" s="66"/>
    </row>
    <row r="53" spans="1:958 1209:1982 2233:3006 3257:4030 4281:5054 5305:6078 6329:7102 7353:8126 8377:9150 9401:10174 10425:11198 11449:12222 12473:13246 13497:14270 14521:15294 15545:16062" ht="60.75" x14ac:dyDescent="0.25">
      <c r="A53" s="72" t="s">
        <v>169</v>
      </c>
      <c r="B53" s="84" t="s">
        <v>482</v>
      </c>
      <c r="C53" s="84" t="s">
        <v>178</v>
      </c>
      <c r="D53" s="310">
        <f>'Приложение 4'!F303+'Приложение 4'!F317</f>
        <v>513342.49</v>
      </c>
      <c r="E53" s="310">
        <f>'Приложение 4'!G303+'Приложение 4'!G317</f>
        <v>700000</v>
      </c>
      <c r="F53" s="310">
        <f>'Приложение 4'!H303+'Приложение 4'!H317</f>
        <v>700000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958 1209:1982 2233:3006 3257:4030 4281:5054 5305:6078 6329:7102 7353:8126 8377:9150 9401:10174 10425:11198 11449:12222 12473:13246 13497:14270 14521:15294 15545:16062" ht="30.75" x14ac:dyDescent="0.25">
      <c r="A54" s="72" t="s">
        <v>170</v>
      </c>
      <c r="B54" s="84" t="s">
        <v>482</v>
      </c>
      <c r="C54" s="84" t="s">
        <v>181</v>
      </c>
      <c r="D54" s="310">
        <f>'Приложение 4'!F304+'Приложение 4'!F318</f>
        <v>14676762.68</v>
      </c>
      <c r="E54" s="310">
        <f>'Приложение 4'!G304+'Приложение 4'!G318</f>
        <v>15300000</v>
      </c>
      <c r="F54" s="310">
        <f>'Приложение 4'!H304+'Приложение 4'!H318</f>
        <v>15300000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958 1209:1982 2233:3006 3257:4030 4281:5054 5305:6078 6329:7102 7353:8126 8377:9150 9401:10174 10425:11198 11449:12222 12473:13246 13497:14270 14521:15294 15545:16062" s="64" customFormat="1" ht="15.75" x14ac:dyDescent="0.25">
      <c r="A55" s="82" t="s">
        <v>474</v>
      </c>
      <c r="B55" s="83" t="s">
        <v>483</v>
      </c>
      <c r="C55" s="83"/>
      <c r="D55" s="259">
        <f>SUM(D56:D59)</f>
        <v>133296566.26999998</v>
      </c>
      <c r="E55" s="259">
        <f>SUM(E56:E59)</f>
        <v>127956490.73999999</v>
      </c>
      <c r="F55" s="259">
        <f>SUM(F56:F59)</f>
        <v>127956490.73999999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GC55" s="66"/>
      <c r="GD55" s="66"/>
      <c r="GE55" s="66"/>
      <c r="GF55" s="66"/>
      <c r="GG55" s="66"/>
      <c r="GH55" s="66"/>
      <c r="PY55" s="66"/>
      <c r="PZ55" s="66"/>
      <c r="QA55" s="66"/>
      <c r="QB55" s="66"/>
      <c r="QC55" s="66"/>
      <c r="QD55" s="66"/>
      <c r="ZU55" s="66"/>
      <c r="ZV55" s="66"/>
      <c r="ZW55" s="66"/>
      <c r="ZX55" s="66"/>
      <c r="ZY55" s="66"/>
      <c r="ZZ55" s="66"/>
      <c r="AJQ55" s="66"/>
      <c r="AJR55" s="66"/>
      <c r="AJS55" s="66"/>
      <c r="AJT55" s="66"/>
      <c r="AJU55" s="66"/>
      <c r="AJV55" s="66"/>
      <c r="ATM55" s="66"/>
      <c r="ATN55" s="66"/>
      <c r="ATO55" s="66"/>
      <c r="ATP55" s="66"/>
      <c r="ATQ55" s="66"/>
      <c r="ATR55" s="66"/>
      <c r="BDI55" s="66"/>
      <c r="BDJ55" s="66"/>
      <c r="BDK55" s="66"/>
      <c r="BDL55" s="66"/>
      <c r="BDM55" s="66"/>
      <c r="BDN55" s="66"/>
      <c r="BNE55" s="66"/>
      <c r="BNF55" s="66"/>
      <c r="BNG55" s="66"/>
      <c r="BNH55" s="66"/>
      <c r="BNI55" s="66"/>
      <c r="BNJ55" s="66"/>
      <c r="BXA55" s="66"/>
      <c r="BXB55" s="66"/>
      <c r="BXC55" s="66"/>
      <c r="BXD55" s="66"/>
      <c r="BXE55" s="66"/>
      <c r="BXF55" s="66"/>
      <c r="CGW55" s="66"/>
      <c r="CGX55" s="66"/>
      <c r="CGY55" s="66"/>
      <c r="CGZ55" s="66"/>
      <c r="CHA55" s="66"/>
      <c r="CHB55" s="66"/>
      <c r="CQS55" s="66"/>
      <c r="CQT55" s="66"/>
      <c r="CQU55" s="66"/>
      <c r="CQV55" s="66"/>
      <c r="CQW55" s="66"/>
      <c r="CQX55" s="66"/>
      <c r="DAO55" s="66"/>
      <c r="DAP55" s="66"/>
      <c r="DAQ55" s="66"/>
      <c r="DAR55" s="66"/>
      <c r="DAS55" s="66"/>
      <c r="DAT55" s="66"/>
      <c r="DKK55" s="66"/>
      <c r="DKL55" s="66"/>
      <c r="DKM55" s="66"/>
      <c r="DKN55" s="66"/>
      <c r="DKO55" s="66"/>
      <c r="DKP55" s="66"/>
      <c r="DUG55" s="66"/>
      <c r="DUH55" s="66"/>
      <c r="DUI55" s="66"/>
      <c r="DUJ55" s="66"/>
      <c r="DUK55" s="66"/>
      <c r="DUL55" s="66"/>
      <c r="EEC55" s="66"/>
      <c r="EED55" s="66"/>
      <c r="EEE55" s="66"/>
      <c r="EEF55" s="66"/>
      <c r="EEG55" s="66"/>
      <c r="EEH55" s="66"/>
      <c r="ENY55" s="66"/>
      <c r="ENZ55" s="66"/>
      <c r="EOA55" s="66"/>
      <c r="EOB55" s="66"/>
      <c r="EOC55" s="66"/>
      <c r="EOD55" s="66"/>
      <c r="EXU55" s="66"/>
      <c r="EXV55" s="66"/>
      <c r="EXW55" s="66"/>
      <c r="EXX55" s="66"/>
      <c r="EXY55" s="66"/>
      <c r="EXZ55" s="66"/>
      <c r="FHQ55" s="66"/>
      <c r="FHR55" s="66"/>
      <c r="FHS55" s="66"/>
      <c r="FHT55" s="66"/>
      <c r="FHU55" s="66"/>
      <c r="FHV55" s="66"/>
      <c r="FRM55" s="66"/>
      <c r="FRN55" s="66"/>
      <c r="FRO55" s="66"/>
      <c r="FRP55" s="66"/>
      <c r="FRQ55" s="66"/>
      <c r="FRR55" s="66"/>
      <c r="GBI55" s="66"/>
      <c r="GBJ55" s="66"/>
      <c r="GBK55" s="66"/>
      <c r="GBL55" s="66"/>
      <c r="GBM55" s="66"/>
      <c r="GBN55" s="66"/>
      <c r="GLE55" s="66"/>
      <c r="GLF55" s="66"/>
      <c r="GLG55" s="66"/>
      <c r="GLH55" s="66"/>
      <c r="GLI55" s="66"/>
      <c r="GLJ55" s="66"/>
      <c r="GVA55" s="66"/>
      <c r="GVB55" s="66"/>
      <c r="GVC55" s="66"/>
      <c r="GVD55" s="66"/>
      <c r="GVE55" s="66"/>
      <c r="GVF55" s="66"/>
      <c r="HEW55" s="66"/>
      <c r="HEX55" s="66"/>
      <c r="HEY55" s="66"/>
      <c r="HEZ55" s="66"/>
      <c r="HFA55" s="66"/>
      <c r="HFB55" s="66"/>
      <c r="HOS55" s="66"/>
      <c r="HOT55" s="66"/>
      <c r="HOU55" s="66"/>
      <c r="HOV55" s="66"/>
      <c r="HOW55" s="66"/>
      <c r="HOX55" s="66"/>
      <c r="HYO55" s="66"/>
      <c r="HYP55" s="66"/>
      <c r="HYQ55" s="66"/>
      <c r="HYR55" s="66"/>
      <c r="HYS55" s="66"/>
      <c r="HYT55" s="66"/>
      <c r="IIK55" s="66"/>
      <c r="IIL55" s="66"/>
      <c r="IIM55" s="66"/>
      <c r="IIN55" s="66"/>
      <c r="IIO55" s="66"/>
      <c r="IIP55" s="66"/>
      <c r="ISG55" s="66"/>
      <c r="ISH55" s="66"/>
      <c r="ISI55" s="66"/>
      <c r="ISJ55" s="66"/>
      <c r="ISK55" s="66"/>
      <c r="ISL55" s="66"/>
      <c r="JCC55" s="66"/>
      <c r="JCD55" s="66"/>
      <c r="JCE55" s="66"/>
      <c r="JCF55" s="66"/>
      <c r="JCG55" s="66"/>
      <c r="JCH55" s="66"/>
      <c r="JLY55" s="66"/>
      <c r="JLZ55" s="66"/>
      <c r="JMA55" s="66"/>
      <c r="JMB55" s="66"/>
      <c r="JMC55" s="66"/>
      <c r="JMD55" s="66"/>
      <c r="JVU55" s="66"/>
      <c r="JVV55" s="66"/>
      <c r="JVW55" s="66"/>
      <c r="JVX55" s="66"/>
      <c r="JVY55" s="66"/>
      <c r="JVZ55" s="66"/>
      <c r="KFQ55" s="66"/>
      <c r="KFR55" s="66"/>
      <c r="KFS55" s="66"/>
      <c r="KFT55" s="66"/>
      <c r="KFU55" s="66"/>
      <c r="KFV55" s="66"/>
      <c r="KPM55" s="66"/>
      <c r="KPN55" s="66"/>
      <c r="KPO55" s="66"/>
      <c r="KPP55" s="66"/>
      <c r="KPQ55" s="66"/>
      <c r="KPR55" s="66"/>
      <c r="KZI55" s="66"/>
      <c r="KZJ55" s="66"/>
      <c r="KZK55" s="66"/>
      <c r="KZL55" s="66"/>
      <c r="KZM55" s="66"/>
      <c r="KZN55" s="66"/>
      <c r="LJE55" s="66"/>
      <c r="LJF55" s="66"/>
      <c r="LJG55" s="66"/>
      <c r="LJH55" s="66"/>
      <c r="LJI55" s="66"/>
      <c r="LJJ55" s="66"/>
      <c r="LTA55" s="66"/>
      <c r="LTB55" s="66"/>
      <c r="LTC55" s="66"/>
      <c r="LTD55" s="66"/>
      <c r="LTE55" s="66"/>
      <c r="LTF55" s="66"/>
      <c r="MCW55" s="66"/>
      <c r="MCX55" s="66"/>
      <c r="MCY55" s="66"/>
      <c r="MCZ55" s="66"/>
      <c r="MDA55" s="66"/>
      <c r="MDB55" s="66"/>
      <c r="MMS55" s="66"/>
      <c r="MMT55" s="66"/>
      <c r="MMU55" s="66"/>
      <c r="MMV55" s="66"/>
      <c r="MMW55" s="66"/>
      <c r="MMX55" s="66"/>
      <c r="MWO55" s="66"/>
      <c r="MWP55" s="66"/>
      <c r="MWQ55" s="66"/>
      <c r="MWR55" s="66"/>
      <c r="MWS55" s="66"/>
      <c r="MWT55" s="66"/>
      <c r="NGK55" s="66"/>
      <c r="NGL55" s="66"/>
      <c r="NGM55" s="66"/>
      <c r="NGN55" s="66"/>
      <c r="NGO55" s="66"/>
      <c r="NGP55" s="66"/>
      <c r="NQG55" s="66"/>
      <c r="NQH55" s="66"/>
      <c r="NQI55" s="66"/>
      <c r="NQJ55" s="66"/>
      <c r="NQK55" s="66"/>
      <c r="NQL55" s="66"/>
      <c r="OAC55" s="66"/>
      <c r="OAD55" s="66"/>
      <c r="OAE55" s="66"/>
      <c r="OAF55" s="66"/>
      <c r="OAG55" s="66"/>
      <c r="OAH55" s="66"/>
      <c r="OJY55" s="66"/>
      <c r="OJZ55" s="66"/>
      <c r="OKA55" s="66"/>
      <c r="OKB55" s="66"/>
      <c r="OKC55" s="66"/>
      <c r="OKD55" s="66"/>
      <c r="OTU55" s="66"/>
      <c r="OTV55" s="66"/>
      <c r="OTW55" s="66"/>
      <c r="OTX55" s="66"/>
      <c r="OTY55" s="66"/>
      <c r="OTZ55" s="66"/>
      <c r="PDQ55" s="66"/>
      <c r="PDR55" s="66"/>
      <c r="PDS55" s="66"/>
      <c r="PDT55" s="66"/>
      <c r="PDU55" s="66"/>
      <c r="PDV55" s="66"/>
      <c r="PNM55" s="66"/>
      <c r="PNN55" s="66"/>
      <c r="PNO55" s="66"/>
      <c r="PNP55" s="66"/>
      <c r="PNQ55" s="66"/>
      <c r="PNR55" s="66"/>
      <c r="PXI55" s="66"/>
      <c r="PXJ55" s="66"/>
      <c r="PXK55" s="66"/>
      <c r="PXL55" s="66"/>
      <c r="PXM55" s="66"/>
      <c r="PXN55" s="66"/>
      <c r="QHE55" s="66"/>
      <c r="QHF55" s="66"/>
      <c r="QHG55" s="66"/>
      <c r="QHH55" s="66"/>
      <c r="QHI55" s="66"/>
      <c r="QHJ55" s="66"/>
      <c r="QRA55" s="66"/>
      <c r="QRB55" s="66"/>
      <c r="QRC55" s="66"/>
      <c r="QRD55" s="66"/>
      <c r="QRE55" s="66"/>
      <c r="QRF55" s="66"/>
      <c r="RAW55" s="66"/>
      <c r="RAX55" s="66"/>
      <c r="RAY55" s="66"/>
      <c r="RAZ55" s="66"/>
      <c r="RBA55" s="66"/>
      <c r="RBB55" s="66"/>
      <c r="RKS55" s="66"/>
      <c r="RKT55" s="66"/>
      <c r="RKU55" s="66"/>
      <c r="RKV55" s="66"/>
      <c r="RKW55" s="66"/>
      <c r="RKX55" s="66"/>
      <c r="RUO55" s="66"/>
      <c r="RUP55" s="66"/>
      <c r="RUQ55" s="66"/>
      <c r="RUR55" s="66"/>
      <c r="RUS55" s="66"/>
      <c r="RUT55" s="66"/>
      <c r="SEK55" s="66"/>
      <c r="SEL55" s="66"/>
      <c r="SEM55" s="66"/>
      <c r="SEN55" s="66"/>
      <c r="SEO55" s="66"/>
      <c r="SEP55" s="66"/>
      <c r="SOG55" s="66"/>
      <c r="SOH55" s="66"/>
      <c r="SOI55" s="66"/>
      <c r="SOJ55" s="66"/>
      <c r="SOK55" s="66"/>
      <c r="SOL55" s="66"/>
      <c r="SYC55" s="66"/>
      <c r="SYD55" s="66"/>
      <c r="SYE55" s="66"/>
      <c r="SYF55" s="66"/>
      <c r="SYG55" s="66"/>
      <c r="SYH55" s="66"/>
      <c r="THY55" s="66"/>
      <c r="THZ55" s="66"/>
      <c r="TIA55" s="66"/>
      <c r="TIB55" s="66"/>
      <c r="TIC55" s="66"/>
      <c r="TID55" s="66"/>
      <c r="TRU55" s="66"/>
      <c r="TRV55" s="66"/>
      <c r="TRW55" s="66"/>
      <c r="TRX55" s="66"/>
      <c r="TRY55" s="66"/>
      <c r="TRZ55" s="66"/>
      <c r="UBQ55" s="66"/>
      <c r="UBR55" s="66"/>
      <c r="UBS55" s="66"/>
      <c r="UBT55" s="66"/>
      <c r="UBU55" s="66"/>
      <c r="UBV55" s="66"/>
      <c r="ULM55" s="66"/>
      <c r="ULN55" s="66"/>
      <c r="ULO55" s="66"/>
      <c r="ULP55" s="66"/>
      <c r="ULQ55" s="66"/>
      <c r="ULR55" s="66"/>
      <c r="UVI55" s="66"/>
      <c r="UVJ55" s="66"/>
      <c r="UVK55" s="66"/>
      <c r="UVL55" s="66"/>
      <c r="UVM55" s="66"/>
      <c r="UVN55" s="66"/>
      <c r="VFE55" s="66"/>
      <c r="VFF55" s="66"/>
      <c r="VFG55" s="66"/>
      <c r="VFH55" s="66"/>
      <c r="VFI55" s="66"/>
      <c r="VFJ55" s="66"/>
      <c r="VPA55" s="66"/>
      <c r="VPB55" s="66"/>
      <c r="VPC55" s="66"/>
      <c r="VPD55" s="66"/>
      <c r="VPE55" s="66"/>
      <c r="VPF55" s="66"/>
      <c r="VYW55" s="66"/>
      <c r="VYX55" s="66"/>
      <c r="VYY55" s="66"/>
      <c r="VYZ55" s="66"/>
      <c r="VZA55" s="66"/>
      <c r="VZB55" s="66"/>
      <c r="WIS55" s="66"/>
      <c r="WIT55" s="66"/>
      <c r="WIU55" s="66"/>
      <c r="WIV55" s="66"/>
      <c r="WIW55" s="66"/>
      <c r="WIX55" s="66"/>
      <c r="WSO55" s="66"/>
      <c r="WSP55" s="66"/>
      <c r="WSQ55" s="66"/>
      <c r="WSR55" s="66"/>
      <c r="WSS55" s="66"/>
      <c r="WST55" s="66"/>
    </row>
    <row r="56" spans="1:958 1209:1982 2233:3006 3257:4030 4281:5054 5305:6078 6329:7102 7353:8126 8377:9150 9401:10174 10425:11198 11449:12222 12473:13246 13497:14270 14521:15294 15545:16062" ht="60.75" x14ac:dyDescent="0.25">
      <c r="A56" s="72" t="s">
        <v>169</v>
      </c>
      <c r="B56" s="84" t="s">
        <v>483</v>
      </c>
      <c r="C56" s="84" t="s">
        <v>178</v>
      </c>
      <c r="D56" s="310">
        <f>'Приложение 4'!F306</f>
        <v>100895556.98999999</v>
      </c>
      <c r="E56" s="310">
        <f>'Приложение 4'!G306</f>
        <v>100511155.94</v>
      </c>
      <c r="F56" s="310">
        <f>'Приложение 4'!H306</f>
        <v>100511155.94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958 1209:1982 2233:3006 3257:4030 4281:5054 5305:6078 6329:7102 7353:8126 8377:9150 9401:10174 10425:11198 11449:12222 12473:13246 13497:14270 14521:15294 15545:16062" ht="30.75" x14ac:dyDescent="0.25">
      <c r="A57" s="72" t="s">
        <v>170</v>
      </c>
      <c r="B57" s="84" t="s">
        <v>483</v>
      </c>
      <c r="C57" s="84" t="s">
        <v>181</v>
      </c>
      <c r="D57" s="310">
        <f>'Приложение 4'!F307</f>
        <v>29397703.599999998</v>
      </c>
      <c r="E57" s="310">
        <f>'Приложение 4'!G307</f>
        <v>24446910.449999999</v>
      </c>
      <c r="F57" s="310">
        <f>'Приложение 4'!H307</f>
        <v>24446910.449999999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958 1209:1982 2233:3006 3257:4030 4281:5054 5305:6078 6329:7102 7353:8126 8377:9150 9401:10174 10425:11198 11449:12222 12473:13246 13497:14270 14521:15294 15545:16062" ht="15.75" x14ac:dyDescent="0.25">
      <c r="A58" s="72" t="s">
        <v>171</v>
      </c>
      <c r="B58" s="84" t="s">
        <v>483</v>
      </c>
      <c r="C58" s="84" t="s">
        <v>183</v>
      </c>
      <c r="D58" s="310">
        <f>'Приложение 4'!F308</f>
        <v>4881.33</v>
      </c>
      <c r="E58" s="310">
        <f>'Приложение 4'!G308</f>
        <v>0</v>
      </c>
      <c r="F58" s="310">
        <f>'Приложение 4'!H308</f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958 1209:1982 2233:3006 3257:4030 4281:5054 5305:6078 6329:7102 7353:8126 8377:9150 9401:10174 10425:11198 11449:12222 12473:13246 13497:14270 14521:15294 15545:16062" ht="15.75" x14ac:dyDescent="0.25">
      <c r="A59" s="72" t="s">
        <v>172</v>
      </c>
      <c r="B59" s="84" t="s">
        <v>483</v>
      </c>
      <c r="C59" s="84" t="s">
        <v>179</v>
      </c>
      <c r="D59" s="310">
        <f>'Приложение 4'!F309</f>
        <v>2998424.35</v>
      </c>
      <c r="E59" s="310">
        <f>'Приложение 4'!G309</f>
        <v>2998424.35</v>
      </c>
      <c r="F59" s="310">
        <f>'Приложение 4'!H309</f>
        <v>2998424.35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958 1209:1982 2233:3006 3257:4030 4281:5054 5305:6078 6329:7102 7353:8126 8377:9150 9401:10174 10425:11198 11449:12222 12473:13246 13497:14270 14521:15294 15545:16062" ht="15.75" x14ac:dyDescent="0.25">
      <c r="A60" s="67" t="s">
        <v>168</v>
      </c>
      <c r="B60" s="68" t="s">
        <v>475</v>
      </c>
      <c r="C60" s="285"/>
      <c r="D60" s="74">
        <f>D66+D72+D64+D61</f>
        <v>1033783386.4299998</v>
      </c>
      <c r="E60" s="74">
        <f>E66+E72+E64+E61</f>
        <v>1065008786.5700002</v>
      </c>
      <c r="F60" s="74">
        <f>F66+F72+F64+F61</f>
        <v>1065008786.5700002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958 1209:1982 2233:3006 3257:4030 4281:5054 5305:6078 6329:7102 7353:8126 8377:9150 9401:10174 10425:11198 11449:12222 12473:13246 13497:14270 14521:15294 15545:16062" s="64" customFormat="1" ht="31.5" x14ac:dyDescent="0.25">
      <c r="A61" s="79" t="s">
        <v>594</v>
      </c>
      <c r="B61" s="76" t="s">
        <v>602</v>
      </c>
      <c r="C61" s="83"/>
      <c r="D61" s="77">
        <f>SUM(D62:D63)</f>
        <v>83933.37</v>
      </c>
      <c r="E61" s="77">
        <f>SUM(E62:E63)</f>
        <v>0</v>
      </c>
      <c r="F61" s="77">
        <f>SUM(F62:F63)</f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958 1209:1982 2233:3006 3257:4030 4281:5054 5305:6078 6329:7102 7353:8126 8377:9150 9401:10174 10425:11198 11449:12222 12473:13246 13497:14270 14521:15294 15545:16062" ht="60.75" x14ac:dyDescent="0.25">
      <c r="A62" s="70" t="s">
        <v>169</v>
      </c>
      <c r="B62" s="71" t="s">
        <v>602</v>
      </c>
      <c r="C62" s="84" t="s">
        <v>178</v>
      </c>
      <c r="D62" s="311">
        <f>'Приложение 4'!F142</f>
        <v>30775.58</v>
      </c>
      <c r="E62" s="311">
        <f>'Приложение 4'!G142</f>
        <v>0</v>
      </c>
      <c r="F62" s="311">
        <f>'Приложение 4'!H142</f>
        <v>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GC62" s="1"/>
      <c r="GD62" s="1"/>
      <c r="GE62" s="1"/>
      <c r="GF62" s="1"/>
      <c r="GG62" s="1"/>
      <c r="GH62" s="1"/>
      <c r="PY62" s="1"/>
      <c r="PZ62" s="1"/>
      <c r="QA62" s="1"/>
      <c r="QB62" s="1"/>
      <c r="QC62" s="1"/>
      <c r="QD62" s="1"/>
      <c r="ZU62" s="1"/>
      <c r="ZV62" s="1"/>
      <c r="ZW62" s="1"/>
      <c r="ZX62" s="1"/>
      <c r="ZY62" s="1"/>
      <c r="ZZ62" s="1"/>
      <c r="AJQ62" s="1"/>
      <c r="AJR62" s="1"/>
      <c r="AJS62" s="1"/>
      <c r="AJT62" s="1"/>
      <c r="AJU62" s="1"/>
      <c r="AJV62" s="1"/>
      <c r="ATM62" s="1"/>
      <c r="ATN62" s="1"/>
      <c r="ATO62" s="1"/>
      <c r="ATP62" s="1"/>
      <c r="ATQ62" s="1"/>
      <c r="ATR62" s="1"/>
      <c r="BDI62" s="1"/>
      <c r="BDJ62" s="1"/>
      <c r="BDK62" s="1"/>
      <c r="BDL62" s="1"/>
      <c r="BDM62" s="1"/>
      <c r="BDN62" s="1"/>
      <c r="BNE62" s="1"/>
      <c r="BNF62" s="1"/>
      <c r="BNG62" s="1"/>
      <c r="BNH62" s="1"/>
      <c r="BNI62" s="1"/>
      <c r="BNJ62" s="1"/>
      <c r="BXA62" s="1"/>
      <c r="BXB62" s="1"/>
      <c r="BXC62" s="1"/>
      <c r="BXD62" s="1"/>
      <c r="BXE62" s="1"/>
      <c r="BXF62" s="1"/>
      <c r="CGW62" s="1"/>
      <c r="CGX62" s="1"/>
      <c r="CGY62" s="1"/>
      <c r="CGZ62" s="1"/>
      <c r="CHA62" s="1"/>
      <c r="CHB62" s="1"/>
      <c r="CQS62" s="1"/>
      <c r="CQT62" s="1"/>
      <c r="CQU62" s="1"/>
      <c r="CQV62" s="1"/>
      <c r="CQW62" s="1"/>
      <c r="CQX62" s="1"/>
      <c r="DAO62" s="1"/>
      <c r="DAP62" s="1"/>
      <c r="DAQ62" s="1"/>
      <c r="DAR62" s="1"/>
      <c r="DAS62" s="1"/>
      <c r="DAT62" s="1"/>
      <c r="DKK62" s="1"/>
      <c r="DKL62" s="1"/>
      <c r="DKM62" s="1"/>
      <c r="DKN62" s="1"/>
      <c r="DKO62" s="1"/>
      <c r="DKP62" s="1"/>
      <c r="DUG62" s="1"/>
      <c r="DUH62" s="1"/>
      <c r="DUI62" s="1"/>
      <c r="DUJ62" s="1"/>
      <c r="DUK62" s="1"/>
      <c r="DUL62" s="1"/>
      <c r="EEC62" s="1"/>
      <c r="EED62" s="1"/>
      <c r="EEE62" s="1"/>
      <c r="EEF62" s="1"/>
      <c r="EEG62" s="1"/>
      <c r="EEH62" s="1"/>
      <c r="ENY62" s="1"/>
      <c r="ENZ62" s="1"/>
      <c r="EOA62" s="1"/>
      <c r="EOB62" s="1"/>
      <c r="EOC62" s="1"/>
      <c r="EOD62" s="1"/>
      <c r="EXU62" s="1"/>
      <c r="EXV62" s="1"/>
      <c r="EXW62" s="1"/>
      <c r="EXX62" s="1"/>
      <c r="EXY62" s="1"/>
      <c r="EXZ62" s="1"/>
      <c r="FHQ62" s="1"/>
      <c r="FHR62" s="1"/>
      <c r="FHS62" s="1"/>
      <c r="FHT62" s="1"/>
      <c r="FHU62" s="1"/>
      <c r="FHV62" s="1"/>
      <c r="FRM62" s="1"/>
      <c r="FRN62" s="1"/>
      <c r="FRO62" s="1"/>
      <c r="FRP62" s="1"/>
      <c r="FRQ62" s="1"/>
      <c r="FRR62" s="1"/>
      <c r="GBI62" s="1"/>
      <c r="GBJ62" s="1"/>
      <c r="GBK62" s="1"/>
      <c r="GBL62" s="1"/>
      <c r="GBM62" s="1"/>
      <c r="GBN62" s="1"/>
      <c r="GLE62" s="1"/>
      <c r="GLF62" s="1"/>
      <c r="GLG62" s="1"/>
      <c r="GLH62" s="1"/>
      <c r="GLI62" s="1"/>
      <c r="GLJ62" s="1"/>
      <c r="GVA62" s="1"/>
      <c r="GVB62" s="1"/>
      <c r="GVC62" s="1"/>
      <c r="GVD62" s="1"/>
      <c r="GVE62" s="1"/>
      <c r="GVF62" s="1"/>
      <c r="HEW62" s="1"/>
      <c r="HEX62" s="1"/>
      <c r="HEY62" s="1"/>
      <c r="HEZ62" s="1"/>
      <c r="HFA62" s="1"/>
      <c r="HFB62" s="1"/>
      <c r="HOS62" s="1"/>
      <c r="HOT62" s="1"/>
      <c r="HOU62" s="1"/>
      <c r="HOV62" s="1"/>
      <c r="HOW62" s="1"/>
      <c r="HOX62" s="1"/>
      <c r="HYO62" s="1"/>
      <c r="HYP62" s="1"/>
      <c r="HYQ62" s="1"/>
      <c r="HYR62" s="1"/>
      <c r="HYS62" s="1"/>
      <c r="HYT62" s="1"/>
      <c r="IIK62" s="1"/>
      <c r="IIL62" s="1"/>
      <c r="IIM62" s="1"/>
      <c r="IIN62" s="1"/>
      <c r="IIO62" s="1"/>
      <c r="IIP62" s="1"/>
      <c r="ISG62" s="1"/>
      <c r="ISH62" s="1"/>
      <c r="ISI62" s="1"/>
      <c r="ISJ62" s="1"/>
      <c r="ISK62" s="1"/>
      <c r="ISL62" s="1"/>
      <c r="JCC62" s="1"/>
      <c r="JCD62" s="1"/>
      <c r="JCE62" s="1"/>
      <c r="JCF62" s="1"/>
      <c r="JCG62" s="1"/>
      <c r="JCH62" s="1"/>
      <c r="JLY62" s="1"/>
      <c r="JLZ62" s="1"/>
      <c r="JMA62" s="1"/>
      <c r="JMB62" s="1"/>
      <c r="JMC62" s="1"/>
      <c r="JMD62" s="1"/>
      <c r="JVU62" s="1"/>
      <c r="JVV62" s="1"/>
      <c r="JVW62" s="1"/>
      <c r="JVX62" s="1"/>
      <c r="JVY62" s="1"/>
      <c r="JVZ62" s="1"/>
      <c r="KFQ62" s="1"/>
      <c r="KFR62" s="1"/>
      <c r="KFS62" s="1"/>
      <c r="KFT62" s="1"/>
      <c r="KFU62" s="1"/>
      <c r="KFV62" s="1"/>
      <c r="KPM62" s="1"/>
      <c r="KPN62" s="1"/>
      <c r="KPO62" s="1"/>
      <c r="KPP62" s="1"/>
      <c r="KPQ62" s="1"/>
      <c r="KPR62" s="1"/>
      <c r="KZI62" s="1"/>
      <c r="KZJ62" s="1"/>
      <c r="KZK62" s="1"/>
      <c r="KZL62" s="1"/>
      <c r="KZM62" s="1"/>
      <c r="KZN62" s="1"/>
      <c r="LJE62" s="1"/>
      <c r="LJF62" s="1"/>
      <c r="LJG62" s="1"/>
      <c r="LJH62" s="1"/>
      <c r="LJI62" s="1"/>
      <c r="LJJ62" s="1"/>
      <c r="LTA62" s="1"/>
      <c r="LTB62" s="1"/>
      <c r="LTC62" s="1"/>
      <c r="LTD62" s="1"/>
      <c r="LTE62" s="1"/>
      <c r="LTF62" s="1"/>
      <c r="MCW62" s="1"/>
      <c r="MCX62" s="1"/>
      <c r="MCY62" s="1"/>
      <c r="MCZ62" s="1"/>
      <c r="MDA62" s="1"/>
      <c r="MDB62" s="1"/>
      <c r="MMS62" s="1"/>
      <c r="MMT62" s="1"/>
      <c r="MMU62" s="1"/>
      <c r="MMV62" s="1"/>
      <c r="MMW62" s="1"/>
      <c r="MMX62" s="1"/>
      <c r="MWO62" s="1"/>
      <c r="MWP62" s="1"/>
      <c r="MWQ62" s="1"/>
      <c r="MWR62" s="1"/>
      <c r="MWS62" s="1"/>
      <c r="MWT62" s="1"/>
      <c r="NGK62" s="1"/>
      <c r="NGL62" s="1"/>
      <c r="NGM62" s="1"/>
      <c r="NGN62" s="1"/>
      <c r="NGO62" s="1"/>
      <c r="NGP62" s="1"/>
      <c r="NQG62" s="1"/>
      <c r="NQH62" s="1"/>
      <c r="NQI62" s="1"/>
      <c r="NQJ62" s="1"/>
      <c r="NQK62" s="1"/>
      <c r="NQL62" s="1"/>
      <c r="OAC62" s="1"/>
      <c r="OAD62" s="1"/>
      <c r="OAE62" s="1"/>
      <c r="OAF62" s="1"/>
      <c r="OAG62" s="1"/>
      <c r="OAH62" s="1"/>
      <c r="OJY62" s="1"/>
      <c r="OJZ62" s="1"/>
      <c r="OKA62" s="1"/>
      <c r="OKB62" s="1"/>
      <c r="OKC62" s="1"/>
      <c r="OKD62" s="1"/>
      <c r="OTU62" s="1"/>
      <c r="OTV62" s="1"/>
      <c r="OTW62" s="1"/>
      <c r="OTX62" s="1"/>
      <c r="OTY62" s="1"/>
      <c r="OTZ62" s="1"/>
      <c r="PDQ62" s="1"/>
      <c r="PDR62" s="1"/>
      <c r="PDS62" s="1"/>
      <c r="PDT62" s="1"/>
      <c r="PDU62" s="1"/>
      <c r="PDV62" s="1"/>
      <c r="PNM62" s="1"/>
      <c r="PNN62" s="1"/>
      <c r="PNO62" s="1"/>
      <c r="PNP62" s="1"/>
      <c r="PNQ62" s="1"/>
      <c r="PNR62" s="1"/>
      <c r="PXI62" s="1"/>
      <c r="PXJ62" s="1"/>
      <c r="PXK62" s="1"/>
      <c r="PXL62" s="1"/>
      <c r="PXM62" s="1"/>
      <c r="PXN62" s="1"/>
      <c r="QHE62" s="1"/>
      <c r="QHF62" s="1"/>
      <c r="QHG62" s="1"/>
      <c r="QHH62" s="1"/>
      <c r="QHI62" s="1"/>
      <c r="QHJ62" s="1"/>
      <c r="QRA62" s="1"/>
      <c r="QRB62" s="1"/>
      <c r="QRC62" s="1"/>
      <c r="QRD62" s="1"/>
      <c r="QRE62" s="1"/>
      <c r="QRF62" s="1"/>
      <c r="RAW62" s="1"/>
      <c r="RAX62" s="1"/>
      <c r="RAY62" s="1"/>
      <c r="RAZ62" s="1"/>
      <c r="RBA62" s="1"/>
      <c r="RBB62" s="1"/>
      <c r="RKS62" s="1"/>
      <c r="RKT62" s="1"/>
      <c r="RKU62" s="1"/>
      <c r="RKV62" s="1"/>
      <c r="RKW62" s="1"/>
      <c r="RKX62" s="1"/>
      <c r="RUO62" s="1"/>
      <c r="RUP62" s="1"/>
      <c r="RUQ62" s="1"/>
      <c r="RUR62" s="1"/>
      <c r="RUS62" s="1"/>
      <c r="RUT62" s="1"/>
      <c r="SEK62" s="1"/>
      <c r="SEL62" s="1"/>
      <c r="SEM62" s="1"/>
      <c r="SEN62" s="1"/>
      <c r="SEO62" s="1"/>
      <c r="SEP62" s="1"/>
      <c r="SOG62" s="1"/>
      <c r="SOH62" s="1"/>
      <c r="SOI62" s="1"/>
      <c r="SOJ62" s="1"/>
      <c r="SOK62" s="1"/>
      <c r="SOL62" s="1"/>
      <c r="SYC62" s="1"/>
      <c r="SYD62" s="1"/>
      <c r="SYE62" s="1"/>
      <c r="SYF62" s="1"/>
      <c r="SYG62" s="1"/>
      <c r="SYH62" s="1"/>
      <c r="THY62" s="1"/>
      <c r="THZ62" s="1"/>
      <c r="TIA62" s="1"/>
      <c r="TIB62" s="1"/>
      <c r="TIC62" s="1"/>
      <c r="TID62" s="1"/>
      <c r="TRU62" s="1"/>
      <c r="TRV62" s="1"/>
      <c r="TRW62" s="1"/>
      <c r="TRX62" s="1"/>
      <c r="TRY62" s="1"/>
      <c r="TRZ62" s="1"/>
      <c r="UBQ62" s="1"/>
      <c r="UBR62" s="1"/>
      <c r="UBS62" s="1"/>
      <c r="UBT62" s="1"/>
      <c r="UBU62" s="1"/>
      <c r="UBV62" s="1"/>
      <c r="ULM62" s="1"/>
      <c r="ULN62" s="1"/>
      <c r="ULO62" s="1"/>
      <c r="ULP62" s="1"/>
      <c r="ULQ62" s="1"/>
      <c r="ULR62" s="1"/>
      <c r="UVI62" s="1"/>
      <c r="UVJ62" s="1"/>
      <c r="UVK62" s="1"/>
      <c r="UVL62" s="1"/>
      <c r="UVM62" s="1"/>
      <c r="UVN62" s="1"/>
      <c r="VFE62" s="1"/>
      <c r="VFF62" s="1"/>
      <c r="VFG62" s="1"/>
      <c r="VFH62" s="1"/>
      <c r="VFI62" s="1"/>
      <c r="VFJ62" s="1"/>
      <c r="VPA62" s="1"/>
      <c r="VPB62" s="1"/>
      <c r="VPC62" s="1"/>
      <c r="VPD62" s="1"/>
      <c r="VPE62" s="1"/>
      <c r="VPF62" s="1"/>
      <c r="VYW62" s="1"/>
      <c r="VYX62" s="1"/>
      <c r="VYY62" s="1"/>
      <c r="VYZ62" s="1"/>
      <c r="VZA62" s="1"/>
      <c r="VZB62" s="1"/>
      <c r="WIS62" s="1"/>
      <c r="WIT62" s="1"/>
      <c r="WIU62" s="1"/>
      <c r="WIV62" s="1"/>
      <c r="WIW62" s="1"/>
      <c r="WIX62" s="1"/>
      <c r="WSO62" s="1"/>
      <c r="WSP62" s="1"/>
      <c r="WSQ62" s="1"/>
      <c r="WSR62" s="1"/>
      <c r="WSS62" s="1"/>
      <c r="WST62" s="1"/>
    </row>
    <row r="63" spans="1:958 1209:1982 2233:3006 3257:4030 4281:5054 5305:6078 6329:7102 7353:8126 8377:9150 9401:10174 10425:11198 11449:12222 12473:13246 13497:14270 14521:15294 15545:16062" ht="30.75" x14ac:dyDescent="0.25">
      <c r="A63" s="70" t="s">
        <v>173</v>
      </c>
      <c r="B63" s="71" t="s">
        <v>602</v>
      </c>
      <c r="C63" s="84" t="s">
        <v>227</v>
      </c>
      <c r="D63" s="311">
        <f>'Приложение 4'!F143</f>
        <v>53157.79</v>
      </c>
      <c r="E63" s="311">
        <f>'Приложение 4'!G143</f>
        <v>0</v>
      </c>
      <c r="F63" s="311">
        <f>'Приложение 4'!H143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GC63" s="1"/>
      <c r="GD63" s="1"/>
      <c r="GE63" s="1"/>
      <c r="GF63" s="1"/>
      <c r="GG63" s="1"/>
      <c r="GH63" s="1"/>
      <c r="PY63" s="1"/>
      <c r="PZ63" s="1"/>
      <c r="QA63" s="1"/>
      <c r="QB63" s="1"/>
      <c r="QC63" s="1"/>
      <c r="QD63" s="1"/>
      <c r="ZU63" s="1"/>
      <c r="ZV63" s="1"/>
      <c r="ZW63" s="1"/>
      <c r="ZX63" s="1"/>
      <c r="ZY63" s="1"/>
      <c r="ZZ63" s="1"/>
      <c r="AJQ63" s="1"/>
      <c r="AJR63" s="1"/>
      <c r="AJS63" s="1"/>
      <c r="AJT63" s="1"/>
      <c r="AJU63" s="1"/>
      <c r="AJV63" s="1"/>
      <c r="ATM63" s="1"/>
      <c r="ATN63" s="1"/>
      <c r="ATO63" s="1"/>
      <c r="ATP63" s="1"/>
      <c r="ATQ63" s="1"/>
      <c r="ATR63" s="1"/>
      <c r="BDI63" s="1"/>
      <c r="BDJ63" s="1"/>
      <c r="BDK63" s="1"/>
      <c r="BDL63" s="1"/>
      <c r="BDM63" s="1"/>
      <c r="BDN63" s="1"/>
      <c r="BNE63" s="1"/>
      <c r="BNF63" s="1"/>
      <c r="BNG63" s="1"/>
      <c r="BNH63" s="1"/>
      <c r="BNI63" s="1"/>
      <c r="BNJ63" s="1"/>
      <c r="BXA63" s="1"/>
      <c r="BXB63" s="1"/>
      <c r="BXC63" s="1"/>
      <c r="BXD63" s="1"/>
      <c r="BXE63" s="1"/>
      <c r="BXF63" s="1"/>
      <c r="CGW63" s="1"/>
      <c r="CGX63" s="1"/>
      <c r="CGY63" s="1"/>
      <c r="CGZ63" s="1"/>
      <c r="CHA63" s="1"/>
      <c r="CHB63" s="1"/>
      <c r="CQS63" s="1"/>
      <c r="CQT63" s="1"/>
      <c r="CQU63" s="1"/>
      <c r="CQV63" s="1"/>
      <c r="CQW63" s="1"/>
      <c r="CQX63" s="1"/>
      <c r="DAO63" s="1"/>
      <c r="DAP63" s="1"/>
      <c r="DAQ63" s="1"/>
      <c r="DAR63" s="1"/>
      <c r="DAS63" s="1"/>
      <c r="DAT63" s="1"/>
      <c r="DKK63" s="1"/>
      <c r="DKL63" s="1"/>
      <c r="DKM63" s="1"/>
      <c r="DKN63" s="1"/>
      <c r="DKO63" s="1"/>
      <c r="DKP63" s="1"/>
      <c r="DUG63" s="1"/>
      <c r="DUH63" s="1"/>
      <c r="DUI63" s="1"/>
      <c r="DUJ63" s="1"/>
      <c r="DUK63" s="1"/>
      <c r="DUL63" s="1"/>
      <c r="EEC63" s="1"/>
      <c r="EED63" s="1"/>
      <c r="EEE63" s="1"/>
      <c r="EEF63" s="1"/>
      <c r="EEG63" s="1"/>
      <c r="EEH63" s="1"/>
      <c r="ENY63" s="1"/>
      <c r="ENZ63" s="1"/>
      <c r="EOA63" s="1"/>
      <c r="EOB63" s="1"/>
      <c r="EOC63" s="1"/>
      <c r="EOD63" s="1"/>
      <c r="EXU63" s="1"/>
      <c r="EXV63" s="1"/>
      <c r="EXW63" s="1"/>
      <c r="EXX63" s="1"/>
      <c r="EXY63" s="1"/>
      <c r="EXZ63" s="1"/>
      <c r="FHQ63" s="1"/>
      <c r="FHR63" s="1"/>
      <c r="FHS63" s="1"/>
      <c r="FHT63" s="1"/>
      <c r="FHU63" s="1"/>
      <c r="FHV63" s="1"/>
      <c r="FRM63" s="1"/>
      <c r="FRN63" s="1"/>
      <c r="FRO63" s="1"/>
      <c r="FRP63" s="1"/>
      <c r="FRQ63" s="1"/>
      <c r="FRR63" s="1"/>
      <c r="GBI63" s="1"/>
      <c r="GBJ63" s="1"/>
      <c r="GBK63" s="1"/>
      <c r="GBL63" s="1"/>
      <c r="GBM63" s="1"/>
      <c r="GBN63" s="1"/>
      <c r="GLE63" s="1"/>
      <c r="GLF63" s="1"/>
      <c r="GLG63" s="1"/>
      <c r="GLH63" s="1"/>
      <c r="GLI63" s="1"/>
      <c r="GLJ63" s="1"/>
      <c r="GVA63" s="1"/>
      <c r="GVB63" s="1"/>
      <c r="GVC63" s="1"/>
      <c r="GVD63" s="1"/>
      <c r="GVE63" s="1"/>
      <c r="GVF63" s="1"/>
      <c r="HEW63" s="1"/>
      <c r="HEX63" s="1"/>
      <c r="HEY63" s="1"/>
      <c r="HEZ63" s="1"/>
      <c r="HFA63" s="1"/>
      <c r="HFB63" s="1"/>
      <c r="HOS63" s="1"/>
      <c r="HOT63" s="1"/>
      <c r="HOU63" s="1"/>
      <c r="HOV63" s="1"/>
      <c r="HOW63" s="1"/>
      <c r="HOX63" s="1"/>
      <c r="HYO63" s="1"/>
      <c r="HYP63" s="1"/>
      <c r="HYQ63" s="1"/>
      <c r="HYR63" s="1"/>
      <c r="HYS63" s="1"/>
      <c r="HYT63" s="1"/>
      <c r="IIK63" s="1"/>
      <c r="IIL63" s="1"/>
      <c r="IIM63" s="1"/>
      <c r="IIN63" s="1"/>
      <c r="IIO63" s="1"/>
      <c r="IIP63" s="1"/>
      <c r="ISG63" s="1"/>
      <c r="ISH63" s="1"/>
      <c r="ISI63" s="1"/>
      <c r="ISJ63" s="1"/>
      <c r="ISK63" s="1"/>
      <c r="ISL63" s="1"/>
      <c r="JCC63" s="1"/>
      <c r="JCD63" s="1"/>
      <c r="JCE63" s="1"/>
      <c r="JCF63" s="1"/>
      <c r="JCG63" s="1"/>
      <c r="JCH63" s="1"/>
      <c r="JLY63" s="1"/>
      <c r="JLZ63" s="1"/>
      <c r="JMA63" s="1"/>
      <c r="JMB63" s="1"/>
      <c r="JMC63" s="1"/>
      <c r="JMD63" s="1"/>
      <c r="JVU63" s="1"/>
      <c r="JVV63" s="1"/>
      <c r="JVW63" s="1"/>
      <c r="JVX63" s="1"/>
      <c r="JVY63" s="1"/>
      <c r="JVZ63" s="1"/>
      <c r="KFQ63" s="1"/>
      <c r="KFR63" s="1"/>
      <c r="KFS63" s="1"/>
      <c r="KFT63" s="1"/>
      <c r="KFU63" s="1"/>
      <c r="KFV63" s="1"/>
      <c r="KPM63" s="1"/>
      <c r="KPN63" s="1"/>
      <c r="KPO63" s="1"/>
      <c r="KPP63" s="1"/>
      <c r="KPQ63" s="1"/>
      <c r="KPR63" s="1"/>
      <c r="KZI63" s="1"/>
      <c r="KZJ63" s="1"/>
      <c r="KZK63" s="1"/>
      <c r="KZL63" s="1"/>
      <c r="KZM63" s="1"/>
      <c r="KZN63" s="1"/>
      <c r="LJE63" s="1"/>
      <c r="LJF63" s="1"/>
      <c r="LJG63" s="1"/>
      <c r="LJH63" s="1"/>
      <c r="LJI63" s="1"/>
      <c r="LJJ63" s="1"/>
      <c r="LTA63" s="1"/>
      <c r="LTB63" s="1"/>
      <c r="LTC63" s="1"/>
      <c r="LTD63" s="1"/>
      <c r="LTE63" s="1"/>
      <c r="LTF63" s="1"/>
      <c r="MCW63" s="1"/>
      <c r="MCX63" s="1"/>
      <c r="MCY63" s="1"/>
      <c r="MCZ63" s="1"/>
      <c r="MDA63" s="1"/>
      <c r="MDB63" s="1"/>
      <c r="MMS63" s="1"/>
      <c r="MMT63" s="1"/>
      <c r="MMU63" s="1"/>
      <c r="MMV63" s="1"/>
      <c r="MMW63" s="1"/>
      <c r="MMX63" s="1"/>
      <c r="MWO63" s="1"/>
      <c r="MWP63" s="1"/>
      <c r="MWQ63" s="1"/>
      <c r="MWR63" s="1"/>
      <c r="MWS63" s="1"/>
      <c r="MWT63" s="1"/>
      <c r="NGK63" s="1"/>
      <c r="NGL63" s="1"/>
      <c r="NGM63" s="1"/>
      <c r="NGN63" s="1"/>
      <c r="NGO63" s="1"/>
      <c r="NGP63" s="1"/>
      <c r="NQG63" s="1"/>
      <c r="NQH63" s="1"/>
      <c r="NQI63" s="1"/>
      <c r="NQJ63" s="1"/>
      <c r="NQK63" s="1"/>
      <c r="NQL63" s="1"/>
      <c r="OAC63" s="1"/>
      <c r="OAD63" s="1"/>
      <c r="OAE63" s="1"/>
      <c r="OAF63" s="1"/>
      <c r="OAG63" s="1"/>
      <c r="OAH63" s="1"/>
      <c r="OJY63" s="1"/>
      <c r="OJZ63" s="1"/>
      <c r="OKA63" s="1"/>
      <c r="OKB63" s="1"/>
      <c r="OKC63" s="1"/>
      <c r="OKD63" s="1"/>
      <c r="OTU63" s="1"/>
      <c r="OTV63" s="1"/>
      <c r="OTW63" s="1"/>
      <c r="OTX63" s="1"/>
      <c r="OTY63" s="1"/>
      <c r="OTZ63" s="1"/>
      <c r="PDQ63" s="1"/>
      <c r="PDR63" s="1"/>
      <c r="PDS63" s="1"/>
      <c r="PDT63" s="1"/>
      <c r="PDU63" s="1"/>
      <c r="PDV63" s="1"/>
      <c r="PNM63" s="1"/>
      <c r="PNN63" s="1"/>
      <c r="PNO63" s="1"/>
      <c r="PNP63" s="1"/>
      <c r="PNQ63" s="1"/>
      <c r="PNR63" s="1"/>
      <c r="PXI63" s="1"/>
      <c r="PXJ63" s="1"/>
      <c r="PXK63" s="1"/>
      <c r="PXL63" s="1"/>
      <c r="PXM63" s="1"/>
      <c r="PXN63" s="1"/>
      <c r="QHE63" s="1"/>
      <c r="QHF63" s="1"/>
      <c r="QHG63" s="1"/>
      <c r="QHH63" s="1"/>
      <c r="QHI63" s="1"/>
      <c r="QHJ63" s="1"/>
      <c r="QRA63" s="1"/>
      <c r="QRB63" s="1"/>
      <c r="QRC63" s="1"/>
      <c r="QRD63" s="1"/>
      <c r="QRE63" s="1"/>
      <c r="QRF63" s="1"/>
      <c r="RAW63" s="1"/>
      <c r="RAX63" s="1"/>
      <c r="RAY63" s="1"/>
      <c r="RAZ63" s="1"/>
      <c r="RBA63" s="1"/>
      <c r="RBB63" s="1"/>
      <c r="RKS63" s="1"/>
      <c r="RKT63" s="1"/>
      <c r="RKU63" s="1"/>
      <c r="RKV63" s="1"/>
      <c r="RKW63" s="1"/>
      <c r="RKX63" s="1"/>
      <c r="RUO63" s="1"/>
      <c r="RUP63" s="1"/>
      <c r="RUQ63" s="1"/>
      <c r="RUR63" s="1"/>
      <c r="RUS63" s="1"/>
      <c r="RUT63" s="1"/>
      <c r="SEK63" s="1"/>
      <c r="SEL63" s="1"/>
      <c r="SEM63" s="1"/>
      <c r="SEN63" s="1"/>
      <c r="SEO63" s="1"/>
      <c r="SEP63" s="1"/>
      <c r="SOG63" s="1"/>
      <c r="SOH63" s="1"/>
      <c r="SOI63" s="1"/>
      <c r="SOJ63" s="1"/>
      <c r="SOK63" s="1"/>
      <c r="SOL63" s="1"/>
      <c r="SYC63" s="1"/>
      <c r="SYD63" s="1"/>
      <c r="SYE63" s="1"/>
      <c r="SYF63" s="1"/>
      <c r="SYG63" s="1"/>
      <c r="SYH63" s="1"/>
      <c r="THY63" s="1"/>
      <c r="THZ63" s="1"/>
      <c r="TIA63" s="1"/>
      <c r="TIB63" s="1"/>
      <c r="TIC63" s="1"/>
      <c r="TID63" s="1"/>
      <c r="TRU63" s="1"/>
      <c r="TRV63" s="1"/>
      <c r="TRW63" s="1"/>
      <c r="TRX63" s="1"/>
      <c r="TRY63" s="1"/>
      <c r="TRZ63" s="1"/>
      <c r="UBQ63" s="1"/>
      <c r="UBR63" s="1"/>
      <c r="UBS63" s="1"/>
      <c r="UBT63" s="1"/>
      <c r="UBU63" s="1"/>
      <c r="UBV63" s="1"/>
      <c r="ULM63" s="1"/>
      <c r="ULN63" s="1"/>
      <c r="ULO63" s="1"/>
      <c r="ULP63" s="1"/>
      <c r="ULQ63" s="1"/>
      <c r="ULR63" s="1"/>
      <c r="UVI63" s="1"/>
      <c r="UVJ63" s="1"/>
      <c r="UVK63" s="1"/>
      <c r="UVL63" s="1"/>
      <c r="UVM63" s="1"/>
      <c r="UVN63" s="1"/>
      <c r="VFE63" s="1"/>
      <c r="VFF63" s="1"/>
      <c r="VFG63" s="1"/>
      <c r="VFH63" s="1"/>
      <c r="VFI63" s="1"/>
      <c r="VFJ63" s="1"/>
      <c r="VPA63" s="1"/>
      <c r="VPB63" s="1"/>
      <c r="VPC63" s="1"/>
      <c r="VPD63" s="1"/>
      <c r="VPE63" s="1"/>
      <c r="VPF63" s="1"/>
      <c r="VYW63" s="1"/>
      <c r="VYX63" s="1"/>
      <c r="VYY63" s="1"/>
      <c r="VYZ63" s="1"/>
      <c r="VZA63" s="1"/>
      <c r="VZB63" s="1"/>
      <c r="WIS63" s="1"/>
      <c r="WIT63" s="1"/>
      <c r="WIU63" s="1"/>
      <c r="WIV63" s="1"/>
      <c r="WIW63" s="1"/>
      <c r="WIX63" s="1"/>
      <c r="WSO63" s="1"/>
      <c r="WSP63" s="1"/>
      <c r="WSQ63" s="1"/>
      <c r="WSR63" s="1"/>
      <c r="WSS63" s="1"/>
      <c r="WST63" s="1"/>
    </row>
    <row r="64" spans="1:958 1209:1982 2233:3006 3257:4030 4281:5054 5305:6078 6329:7102 7353:8126 8377:9150 9401:10174 10425:11198 11449:12222 12473:13246 13497:14270 14521:15294 15545:16062" ht="15.75" x14ac:dyDescent="0.25">
      <c r="A64" s="79" t="s">
        <v>579</v>
      </c>
      <c r="B64" s="76" t="s">
        <v>577</v>
      </c>
      <c r="C64" s="84"/>
      <c r="D64" s="77">
        <f>D65</f>
        <v>1193369.77</v>
      </c>
      <c r="E64" s="77">
        <f>E65</f>
        <v>0</v>
      </c>
      <c r="F64" s="77">
        <f>F65</f>
        <v>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GC64" s="1"/>
      <c r="GD64" s="1"/>
      <c r="GE64" s="1"/>
      <c r="GF64" s="1"/>
      <c r="GG64" s="1"/>
      <c r="GH64" s="1"/>
      <c r="PY64" s="1"/>
      <c r="PZ64" s="1"/>
      <c r="QA64" s="1"/>
      <c r="QB64" s="1"/>
      <c r="QC64" s="1"/>
      <c r="QD64" s="1"/>
      <c r="ZU64" s="1"/>
      <c r="ZV64" s="1"/>
      <c r="ZW64" s="1"/>
      <c r="ZX64" s="1"/>
      <c r="ZY64" s="1"/>
      <c r="ZZ64" s="1"/>
      <c r="AJQ64" s="1"/>
      <c r="AJR64" s="1"/>
      <c r="AJS64" s="1"/>
      <c r="AJT64" s="1"/>
      <c r="AJU64" s="1"/>
      <c r="AJV64" s="1"/>
      <c r="ATM64" s="1"/>
      <c r="ATN64" s="1"/>
      <c r="ATO64" s="1"/>
      <c r="ATP64" s="1"/>
      <c r="ATQ64" s="1"/>
      <c r="ATR64" s="1"/>
      <c r="BDI64" s="1"/>
      <c r="BDJ64" s="1"/>
      <c r="BDK64" s="1"/>
      <c r="BDL64" s="1"/>
      <c r="BDM64" s="1"/>
      <c r="BDN64" s="1"/>
      <c r="BNE64" s="1"/>
      <c r="BNF64" s="1"/>
      <c r="BNG64" s="1"/>
      <c r="BNH64" s="1"/>
      <c r="BNI64" s="1"/>
      <c r="BNJ64" s="1"/>
      <c r="BXA64" s="1"/>
      <c r="BXB64" s="1"/>
      <c r="BXC64" s="1"/>
      <c r="BXD64" s="1"/>
      <c r="BXE64" s="1"/>
      <c r="BXF64" s="1"/>
      <c r="CGW64" s="1"/>
      <c r="CGX64" s="1"/>
      <c r="CGY64" s="1"/>
      <c r="CGZ64" s="1"/>
      <c r="CHA64" s="1"/>
      <c r="CHB64" s="1"/>
      <c r="CQS64" s="1"/>
      <c r="CQT64" s="1"/>
      <c r="CQU64" s="1"/>
      <c r="CQV64" s="1"/>
      <c r="CQW64" s="1"/>
      <c r="CQX64" s="1"/>
      <c r="DAO64" s="1"/>
      <c r="DAP64" s="1"/>
      <c r="DAQ64" s="1"/>
      <c r="DAR64" s="1"/>
      <c r="DAS64" s="1"/>
      <c r="DAT64" s="1"/>
      <c r="DKK64" s="1"/>
      <c r="DKL64" s="1"/>
      <c r="DKM64" s="1"/>
      <c r="DKN64" s="1"/>
      <c r="DKO64" s="1"/>
      <c r="DKP64" s="1"/>
      <c r="DUG64" s="1"/>
      <c r="DUH64" s="1"/>
      <c r="DUI64" s="1"/>
      <c r="DUJ64" s="1"/>
      <c r="DUK64" s="1"/>
      <c r="DUL64" s="1"/>
      <c r="EEC64" s="1"/>
      <c r="EED64" s="1"/>
      <c r="EEE64" s="1"/>
      <c r="EEF64" s="1"/>
      <c r="EEG64" s="1"/>
      <c r="EEH64" s="1"/>
      <c r="ENY64" s="1"/>
      <c r="ENZ64" s="1"/>
      <c r="EOA64" s="1"/>
      <c r="EOB64" s="1"/>
      <c r="EOC64" s="1"/>
      <c r="EOD64" s="1"/>
      <c r="EXU64" s="1"/>
      <c r="EXV64" s="1"/>
      <c r="EXW64" s="1"/>
      <c r="EXX64" s="1"/>
      <c r="EXY64" s="1"/>
      <c r="EXZ64" s="1"/>
      <c r="FHQ64" s="1"/>
      <c r="FHR64" s="1"/>
      <c r="FHS64" s="1"/>
      <c r="FHT64" s="1"/>
      <c r="FHU64" s="1"/>
      <c r="FHV64" s="1"/>
      <c r="FRM64" s="1"/>
      <c r="FRN64" s="1"/>
      <c r="FRO64" s="1"/>
      <c r="FRP64" s="1"/>
      <c r="FRQ64" s="1"/>
      <c r="FRR64" s="1"/>
      <c r="GBI64" s="1"/>
      <c r="GBJ64" s="1"/>
      <c r="GBK64" s="1"/>
      <c r="GBL64" s="1"/>
      <c r="GBM64" s="1"/>
      <c r="GBN64" s="1"/>
      <c r="GLE64" s="1"/>
      <c r="GLF64" s="1"/>
      <c r="GLG64" s="1"/>
      <c r="GLH64" s="1"/>
      <c r="GLI64" s="1"/>
      <c r="GLJ64" s="1"/>
      <c r="GVA64" s="1"/>
      <c r="GVB64" s="1"/>
      <c r="GVC64" s="1"/>
      <c r="GVD64" s="1"/>
      <c r="GVE64" s="1"/>
      <c r="GVF64" s="1"/>
      <c r="HEW64" s="1"/>
      <c r="HEX64" s="1"/>
      <c r="HEY64" s="1"/>
      <c r="HEZ64" s="1"/>
      <c r="HFA64" s="1"/>
      <c r="HFB64" s="1"/>
      <c r="HOS64" s="1"/>
      <c r="HOT64" s="1"/>
      <c r="HOU64" s="1"/>
      <c r="HOV64" s="1"/>
      <c r="HOW64" s="1"/>
      <c r="HOX64" s="1"/>
      <c r="HYO64" s="1"/>
      <c r="HYP64" s="1"/>
      <c r="HYQ64" s="1"/>
      <c r="HYR64" s="1"/>
      <c r="HYS64" s="1"/>
      <c r="HYT64" s="1"/>
      <c r="IIK64" s="1"/>
      <c r="IIL64" s="1"/>
      <c r="IIM64" s="1"/>
      <c r="IIN64" s="1"/>
      <c r="IIO64" s="1"/>
      <c r="IIP64" s="1"/>
      <c r="ISG64" s="1"/>
      <c r="ISH64" s="1"/>
      <c r="ISI64" s="1"/>
      <c r="ISJ64" s="1"/>
      <c r="ISK64" s="1"/>
      <c r="ISL64" s="1"/>
      <c r="JCC64" s="1"/>
      <c r="JCD64" s="1"/>
      <c r="JCE64" s="1"/>
      <c r="JCF64" s="1"/>
      <c r="JCG64" s="1"/>
      <c r="JCH64" s="1"/>
      <c r="JLY64" s="1"/>
      <c r="JLZ64" s="1"/>
      <c r="JMA64" s="1"/>
      <c r="JMB64" s="1"/>
      <c r="JMC64" s="1"/>
      <c r="JMD64" s="1"/>
      <c r="JVU64" s="1"/>
      <c r="JVV64" s="1"/>
      <c r="JVW64" s="1"/>
      <c r="JVX64" s="1"/>
      <c r="JVY64" s="1"/>
      <c r="JVZ64" s="1"/>
      <c r="KFQ64" s="1"/>
      <c r="KFR64" s="1"/>
      <c r="KFS64" s="1"/>
      <c r="KFT64" s="1"/>
      <c r="KFU64" s="1"/>
      <c r="KFV64" s="1"/>
      <c r="KPM64" s="1"/>
      <c r="KPN64" s="1"/>
      <c r="KPO64" s="1"/>
      <c r="KPP64" s="1"/>
      <c r="KPQ64" s="1"/>
      <c r="KPR64" s="1"/>
      <c r="KZI64" s="1"/>
      <c r="KZJ64" s="1"/>
      <c r="KZK64" s="1"/>
      <c r="KZL64" s="1"/>
      <c r="KZM64" s="1"/>
      <c r="KZN64" s="1"/>
      <c r="LJE64" s="1"/>
      <c r="LJF64" s="1"/>
      <c r="LJG64" s="1"/>
      <c r="LJH64" s="1"/>
      <c r="LJI64" s="1"/>
      <c r="LJJ64" s="1"/>
      <c r="LTA64" s="1"/>
      <c r="LTB64" s="1"/>
      <c r="LTC64" s="1"/>
      <c r="LTD64" s="1"/>
      <c r="LTE64" s="1"/>
      <c r="LTF64" s="1"/>
      <c r="MCW64" s="1"/>
      <c r="MCX64" s="1"/>
      <c r="MCY64" s="1"/>
      <c r="MCZ64" s="1"/>
      <c r="MDA64" s="1"/>
      <c r="MDB64" s="1"/>
      <c r="MMS64" s="1"/>
      <c r="MMT64" s="1"/>
      <c r="MMU64" s="1"/>
      <c r="MMV64" s="1"/>
      <c r="MMW64" s="1"/>
      <c r="MMX64" s="1"/>
      <c r="MWO64" s="1"/>
      <c r="MWP64" s="1"/>
      <c r="MWQ64" s="1"/>
      <c r="MWR64" s="1"/>
      <c r="MWS64" s="1"/>
      <c r="MWT64" s="1"/>
      <c r="NGK64" s="1"/>
      <c r="NGL64" s="1"/>
      <c r="NGM64" s="1"/>
      <c r="NGN64" s="1"/>
      <c r="NGO64" s="1"/>
      <c r="NGP64" s="1"/>
      <c r="NQG64" s="1"/>
      <c r="NQH64" s="1"/>
      <c r="NQI64" s="1"/>
      <c r="NQJ64" s="1"/>
      <c r="NQK64" s="1"/>
      <c r="NQL64" s="1"/>
      <c r="OAC64" s="1"/>
      <c r="OAD64" s="1"/>
      <c r="OAE64" s="1"/>
      <c r="OAF64" s="1"/>
      <c r="OAG64" s="1"/>
      <c r="OAH64" s="1"/>
      <c r="OJY64" s="1"/>
      <c r="OJZ64" s="1"/>
      <c r="OKA64" s="1"/>
      <c r="OKB64" s="1"/>
      <c r="OKC64" s="1"/>
      <c r="OKD64" s="1"/>
      <c r="OTU64" s="1"/>
      <c r="OTV64" s="1"/>
      <c r="OTW64" s="1"/>
      <c r="OTX64" s="1"/>
      <c r="OTY64" s="1"/>
      <c r="OTZ64" s="1"/>
      <c r="PDQ64" s="1"/>
      <c r="PDR64" s="1"/>
      <c r="PDS64" s="1"/>
      <c r="PDT64" s="1"/>
      <c r="PDU64" s="1"/>
      <c r="PDV64" s="1"/>
      <c r="PNM64" s="1"/>
      <c r="PNN64" s="1"/>
      <c r="PNO64" s="1"/>
      <c r="PNP64" s="1"/>
      <c r="PNQ64" s="1"/>
      <c r="PNR64" s="1"/>
      <c r="PXI64" s="1"/>
      <c r="PXJ64" s="1"/>
      <c r="PXK64" s="1"/>
      <c r="PXL64" s="1"/>
      <c r="PXM64" s="1"/>
      <c r="PXN64" s="1"/>
      <c r="QHE64" s="1"/>
      <c r="QHF64" s="1"/>
      <c r="QHG64" s="1"/>
      <c r="QHH64" s="1"/>
      <c r="QHI64" s="1"/>
      <c r="QHJ64" s="1"/>
      <c r="QRA64" s="1"/>
      <c r="QRB64" s="1"/>
      <c r="QRC64" s="1"/>
      <c r="QRD64" s="1"/>
      <c r="QRE64" s="1"/>
      <c r="QRF64" s="1"/>
      <c r="RAW64" s="1"/>
      <c r="RAX64" s="1"/>
      <c r="RAY64" s="1"/>
      <c r="RAZ64" s="1"/>
      <c r="RBA64" s="1"/>
      <c r="RBB64" s="1"/>
      <c r="RKS64" s="1"/>
      <c r="RKT64" s="1"/>
      <c r="RKU64" s="1"/>
      <c r="RKV64" s="1"/>
      <c r="RKW64" s="1"/>
      <c r="RKX64" s="1"/>
      <c r="RUO64" s="1"/>
      <c r="RUP64" s="1"/>
      <c r="RUQ64" s="1"/>
      <c r="RUR64" s="1"/>
      <c r="RUS64" s="1"/>
      <c r="RUT64" s="1"/>
      <c r="SEK64" s="1"/>
      <c r="SEL64" s="1"/>
      <c r="SEM64" s="1"/>
      <c r="SEN64" s="1"/>
      <c r="SEO64" s="1"/>
      <c r="SEP64" s="1"/>
      <c r="SOG64" s="1"/>
      <c r="SOH64" s="1"/>
      <c r="SOI64" s="1"/>
      <c r="SOJ64" s="1"/>
      <c r="SOK64" s="1"/>
      <c r="SOL64" s="1"/>
      <c r="SYC64" s="1"/>
      <c r="SYD64" s="1"/>
      <c r="SYE64" s="1"/>
      <c r="SYF64" s="1"/>
      <c r="SYG64" s="1"/>
      <c r="SYH64" s="1"/>
      <c r="THY64" s="1"/>
      <c r="THZ64" s="1"/>
      <c r="TIA64" s="1"/>
      <c r="TIB64" s="1"/>
      <c r="TIC64" s="1"/>
      <c r="TID64" s="1"/>
      <c r="TRU64" s="1"/>
      <c r="TRV64" s="1"/>
      <c r="TRW64" s="1"/>
      <c r="TRX64" s="1"/>
      <c r="TRY64" s="1"/>
      <c r="TRZ64" s="1"/>
      <c r="UBQ64" s="1"/>
      <c r="UBR64" s="1"/>
      <c r="UBS64" s="1"/>
      <c r="UBT64" s="1"/>
      <c r="UBU64" s="1"/>
      <c r="UBV64" s="1"/>
      <c r="ULM64" s="1"/>
      <c r="ULN64" s="1"/>
      <c r="ULO64" s="1"/>
      <c r="ULP64" s="1"/>
      <c r="ULQ64" s="1"/>
      <c r="ULR64" s="1"/>
      <c r="UVI64" s="1"/>
      <c r="UVJ64" s="1"/>
      <c r="UVK64" s="1"/>
      <c r="UVL64" s="1"/>
      <c r="UVM64" s="1"/>
      <c r="UVN64" s="1"/>
      <c r="VFE64" s="1"/>
      <c r="VFF64" s="1"/>
      <c r="VFG64" s="1"/>
      <c r="VFH64" s="1"/>
      <c r="VFI64" s="1"/>
      <c r="VFJ64" s="1"/>
      <c r="VPA64" s="1"/>
      <c r="VPB64" s="1"/>
      <c r="VPC64" s="1"/>
      <c r="VPD64" s="1"/>
      <c r="VPE64" s="1"/>
      <c r="VPF64" s="1"/>
      <c r="VYW64" s="1"/>
      <c r="VYX64" s="1"/>
      <c r="VYY64" s="1"/>
      <c r="VYZ64" s="1"/>
      <c r="VZA64" s="1"/>
      <c r="VZB64" s="1"/>
      <c r="WIS64" s="1"/>
      <c r="WIT64" s="1"/>
      <c r="WIU64" s="1"/>
      <c r="WIV64" s="1"/>
      <c r="WIW64" s="1"/>
      <c r="WIX64" s="1"/>
      <c r="WSO64" s="1"/>
      <c r="WSP64" s="1"/>
      <c r="WSQ64" s="1"/>
      <c r="WSR64" s="1"/>
      <c r="WSS64" s="1"/>
      <c r="WST64" s="1"/>
    </row>
    <row r="65" spans="1:958 1209:1982 2233:3006 3257:4030 4281:5054 5305:6078 6329:7102 7353:8126 8377:9150 9401:10174 10425:11198 11449:12222 12473:13246 13497:14270 14521:15294 15545:16062" ht="30.75" x14ac:dyDescent="0.25">
      <c r="A65" s="70" t="s">
        <v>173</v>
      </c>
      <c r="B65" s="71" t="s">
        <v>577</v>
      </c>
      <c r="C65" s="84" t="s">
        <v>227</v>
      </c>
      <c r="D65" s="311">
        <f>'Приложение 4'!F145</f>
        <v>1193369.77</v>
      </c>
      <c r="E65" s="311">
        <f>'Приложение 4'!G145</f>
        <v>0</v>
      </c>
      <c r="F65" s="311">
        <f>'Приложение 4'!H145</f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GC65" s="1"/>
      <c r="GD65" s="1"/>
      <c r="GE65" s="1"/>
      <c r="GF65" s="1"/>
      <c r="GG65" s="1"/>
      <c r="GH65" s="1"/>
      <c r="PY65" s="1"/>
      <c r="PZ65" s="1"/>
      <c r="QA65" s="1"/>
      <c r="QB65" s="1"/>
      <c r="QC65" s="1"/>
      <c r="QD65" s="1"/>
      <c r="ZU65" s="1"/>
      <c r="ZV65" s="1"/>
      <c r="ZW65" s="1"/>
      <c r="ZX65" s="1"/>
      <c r="ZY65" s="1"/>
      <c r="ZZ65" s="1"/>
      <c r="AJQ65" s="1"/>
      <c r="AJR65" s="1"/>
      <c r="AJS65" s="1"/>
      <c r="AJT65" s="1"/>
      <c r="AJU65" s="1"/>
      <c r="AJV65" s="1"/>
      <c r="ATM65" s="1"/>
      <c r="ATN65" s="1"/>
      <c r="ATO65" s="1"/>
      <c r="ATP65" s="1"/>
      <c r="ATQ65" s="1"/>
      <c r="ATR65" s="1"/>
      <c r="BDI65" s="1"/>
      <c r="BDJ65" s="1"/>
      <c r="BDK65" s="1"/>
      <c r="BDL65" s="1"/>
      <c r="BDM65" s="1"/>
      <c r="BDN65" s="1"/>
      <c r="BNE65" s="1"/>
      <c r="BNF65" s="1"/>
      <c r="BNG65" s="1"/>
      <c r="BNH65" s="1"/>
      <c r="BNI65" s="1"/>
      <c r="BNJ65" s="1"/>
      <c r="BXA65" s="1"/>
      <c r="BXB65" s="1"/>
      <c r="BXC65" s="1"/>
      <c r="BXD65" s="1"/>
      <c r="BXE65" s="1"/>
      <c r="BXF65" s="1"/>
      <c r="CGW65" s="1"/>
      <c r="CGX65" s="1"/>
      <c r="CGY65" s="1"/>
      <c r="CGZ65" s="1"/>
      <c r="CHA65" s="1"/>
      <c r="CHB65" s="1"/>
      <c r="CQS65" s="1"/>
      <c r="CQT65" s="1"/>
      <c r="CQU65" s="1"/>
      <c r="CQV65" s="1"/>
      <c r="CQW65" s="1"/>
      <c r="CQX65" s="1"/>
      <c r="DAO65" s="1"/>
      <c r="DAP65" s="1"/>
      <c r="DAQ65" s="1"/>
      <c r="DAR65" s="1"/>
      <c r="DAS65" s="1"/>
      <c r="DAT65" s="1"/>
      <c r="DKK65" s="1"/>
      <c r="DKL65" s="1"/>
      <c r="DKM65" s="1"/>
      <c r="DKN65" s="1"/>
      <c r="DKO65" s="1"/>
      <c r="DKP65" s="1"/>
      <c r="DUG65" s="1"/>
      <c r="DUH65" s="1"/>
      <c r="DUI65" s="1"/>
      <c r="DUJ65" s="1"/>
      <c r="DUK65" s="1"/>
      <c r="DUL65" s="1"/>
      <c r="EEC65" s="1"/>
      <c r="EED65" s="1"/>
      <c r="EEE65" s="1"/>
      <c r="EEF65" s="1"/>
      <c r="EEG65" s="1"/>
      <c r="EEH65" s="1"/>
      <c r="ENY65" s="1"/>
      <c r="ENZ65" s="1"/>
      <c r="EOA65" s="1"/>
      <c r="EOB65" s="1"/>
      <c r="EOC65" s="1"/>
      <c r="EOD65" s="1"/>
      <c r="EXU65" s="1"/>
      <c r="EXV65" s="1"/>
      <c r="EXW65" s="1"/>
      <c r="EXX65" s="1"/>
      <c r="EXY65" s="1"/>
      <c r="EXZ65" s="1"/>
      <c r="FHQ65" s="1"/>
      <c r="FHR65" s="1"/>
      <c r="FHS65" s="1"/>
      <c r="FHT65" s="1"/>
      <c r="FHU65" s="1"/>
      <c r="FHV65" s="1"/>
      <c r="FRM65" s="1"/>
      <c r="FRN65" s="1"/>
      <c r="FRO65" s="1"/>
      <c r="FRP65" s="1"/>
      <c r="FRQ65" s="1"/>
      <c r="FRR65" s="1"/>
      <c r="GBI65" s="1"/>
      <c r="GBJ65" s="1"/>
      <c r="GBK65" s="1"/>
      <c r="GBL65" s="1"/>
      <c r="GBM65" s="1"/>
      <c r="GBN65" s="1"/>
      <c r="GLE65" s="1"/>
      <c r="GLF65" s="1"/>
      <c r="GLG65" s="1"/>
      <c r="GLH65" s="1"/>
      <c r="GLI65" s="1"/>
      <c r="GLJ65" s="1"/>
      <c r="GVA65" s="1"/>
      <c r="GVB65" s="1"/>
      <c r="GVC65" s="1"/>
      <c r="GVD65" s="1"/>
      <c r="GVE65" s="1"/>
      <c r="GVF65" s="1"/>
      <c r="HEW65" s="1"/>
      <c r="HEX65" s="1"/>
      <c r="HEY65" s="1"/>
      <c r="HEZ65" s="1"/>
      <c r="HFA65" s="1"/>
      <c r="HFB65" s="1"/>
      <c r="HOS65" s="1"/>
      <c r="HOT65" s="1"/>
      <c r="HOU65" s="1"/>
      <c r="HOV65" s="1"/>
      <c r="HOW65" s="1"/>
      <c r="HOX65" s="1"/>
      <c r="HYO65" s="1"/>
      <c r="HYP65" s="1"/>
      <c r="HYQ65" s="1"/>
      <c r="HYR65" s="1"/>
      <c r="HYS65" s="1"/>
      <c r="HYT65" s="1"/>
      <c r="IIK65" s="1"/>
      <c r="IIL65" s="1"/>
      <c r="IIM65" s="1"/>
      <c r="IIN65" s="1"/>
      <c r="IIO65" s="1"/>
      <c r="IIP65" s="1"/>
      <c r="ISG65" s="1"/>
      <c r="ISH65" s="1"/>
      <c r="ISI65" s="1"/>
      <c r="ISJ65" s="1"/>
      <c r="ISK65" s="1"/>
      <c r="ISL65" s="1"/>
      <c r="JCC65" s="1"/>
      <c r="JCD65" s="1"/>
      <c r="JCE65" s="1"/>
      <c r="JCF65" s="1"/>
      <c r="JCG65" s="1"/>
      <c r="JCH65" s="1"/>
      <c r="JLY65" s="1"/>
      <c r="JLZ65" s="1"/>
      <c r="JMA65" s="1"/>
      <c r="JMB65" s="1"/>
      <c r="JMC65" s="1"/>
      <c r="JMD65" s="1"/>
      <c r="JVU65" s="1"/>
      <c r="JVV65" s="1"/>
      <c r="JVW65" s="1"/>
      <c r="JVX65" s="1"/>
      <c r="JVY65" s="1"/>
      <c r="JVZ65" s="1"/>
      <c r="KFQ65" s="1"/>
      <c r="KFR65" s="1"/>
      <c r="KFS65" s="1"/>
      <c r="KFT65" s="1"/>
      <c r="KFU65" s="1"/>
      <c r="KFV65" s="1"/>
      <c r="KPM65" s="1"/>
      <c r="KPN65" s="1"/>
      <c r="KPO65" s="1"/>
      <c r="KPP65" s="1"/>
      <c r="KPQ65" s="1"/>
      <c r="KPR65" s="1"/>
      <c r="KZI65" s="1"/>
      <c r="KZJ65" s="1"/>
      <c r="KZK65" s="1"/>
      <c r="KZL65" s="1"/>
      <c r="KZM65" s="1"/>
      <c r="KZN65" s="1"/>
      <c r="LJE65" s="1"/>
      <c r="LJF65" s="1"/>
      <c r="LJG65" s="1"/>
      <c r="LJH65" s="1"/>
      <c r="LJI65" s="1"/>
      <c r="LJJ65" s="1"/>
      <c r="LTA65" s="1"/>
      <c r="LTB65" s="1"/>
      <c r="LTC65" s="1"/>
      <c r="LTD65" s="1"/>
      <c r="LTE65" s="1"/>
      <c r="LTF65" s="1"/>
      <c r="MCW65" s="1"/>
      <c r="MCX65" s="1"/>
      <c r="MCY65" s="1"/>
      <c r="MCZ65" s="1"/>
      <c r="MDA65" s="1"/>
      <c r="MDB65" s="1"/>
      <c r="MMS65" s="1"/>
      <c r="MMT65" s="1"/>
      <c r="MMU65" s="1"/>
      <c r="MMV65" s="1"/>
      <c r="MMW65" s="1"/>
      <c r="MMX65" s="1"/>
      <c r="MWO65" s="1"/>
      <c r="MWP65" s="1"/>
      <c r="MWQ65" s="1"/>
      <c r="MWR65" s="1"/>
      <c r="MWS65" s="1"/>
      <c r="MWT65" s="1"/>
      <c r="NGK65" s="1"/>
      <c r="NGL65" s="1"/>
      <c r="NGM65" s="1"/>
      <c r="NGN65" s="1"/>
      <c r="NGO65" s="1"/>
      <c r="NGP65" s="1"/>
      <c r="NQG65" s="1"/>
      <c r="NQH65" s="1"/>
      <c r="NQI65" s="1"/>
      <c r="NQJ65" s="1"/>
      <c r="NQK65" s="1"/>
      <c r="NQL65" s="1"/>
      <c r="OAC65" s="1"/>
      <c r="OAD65" s="1"/>
      <c r="OAE65" s="1"/>
      <c r="OAF65" s="1"/>
      <c r="OAG65" s="1"/>
      <c r="OAH65" s="1"/>
      <c r="OJY65" s="1"/>
      <c r="OJZ65" s="1"/>
      <c r="OKA65" s="1"/>
      <c r="OKB65" s="1"/>
      <c r="OKC65" s="1"/>
      <c r="OKD65" s="1"/>
      <c r="OTU65" s="1"/>
      <c r="OTV65" s="1"/>
      <c r="OTW65" s="1"/>
      <c r="OTX65" s="1"/>
      <c r="OTY65" s="1"/>
      <c r="OTZ65" s="1"/>
      <c r="PDQ65" s="1"/>
      <c r="PDR65" s="1"/>
      <c r="PDS65" s="1"/>
      <c r="PDT65" s="1"/>
      <c r="PDU65" s="1"/>
      <c r="PDV65" s="1"/>
      <c r="PNM65" s="1"/>
      <c r="PNN65" s="1"/>
      <c r="PNO65" s="1"/>
      <c r="PNP65" s="1"/>
      <c r="PNQ65" s="1"/>
      <c r="PNR65" s="1"/>
      <c r="PXI65" s="1"/>
      <c r="PXJ65" s="1"/>
      <c r="PXK65" s="1"/>
      <c r="PXL65" s="1"/>
      <c r="PXM65" s="1"/>
      <c r="PXN65" s="1"/>
      <c r="QHE65" s="1"/>
      <c r="QHF65" s="1"/>
      <c r="QHG65" s="1"/>
      <c r="QHH65" s="1"/>
      <c r="QHI65" s="1"/>
      <c r="QHJ65" s="1"/>
      <c r="QRA65" s="1"/>
      <c r="QRB65" s="1"/>
      <c r="QRC65" s="1"/>
      <c r="QRD65" s="1"/>
      <c r="QRE65" s="1"/>
      <c r="QRF65" s="1"/>
      <c r="RAW65" s="1"/>
      <c r="RAX65" s="1"/>
      <c r="RAY65" s="1"/>
      <c r="RAZ65" s="1"/>
      <c r="RBA65" s="1"/>
      <c r="RBB65" s="1"/>
      <c r="RKS65" s="1"/>
      <c r="RKT65" s="1"/>
      <c r="RKU65" s="1"/>
      <c r="RKV65" s="1"/>
      <c r="RKW65" s="1"/>
      <c r="RKX65" s="1"/>
      <c r="RUO65" s="1"/>
      <c r="RUP65" s="1"/>
      <c r="RUQ65" s="1"/>
      <c r="RUR65" s="1"/>
      <c r="RUS65" s="1"/>
      <c r="RUT65" s="1"/>
      <c r="SEK65" s="1"/>
      <c r="SEL65" s="1"/>
      <c r="SEM65" s="1"/>
      <c r="SEN65" s="1"/>
      <c r="SEO65" s="1"/>
      <c r="SEP65" s="1"/>
      <c r="SOG65" s="1"/>
      <c r="SOH65" s="1"/>
      <c r="SOI65" s="1"/>
      <c r="SOJ65" s="1"/>
      <c r="SOK65" s="1"/>
      <c r="SOL65" s="1"/>
      <c r="SYC65" s="1"/>
      <c r="SYD65" s="1"/>
      <c r="SYE65" s="1"/>
      <c r="SYF65" s="1"/>
      <c r="SYG65" s="1"/>
      <c r="SYH65" s="1"/>
      <c r="THY65" s="1"/>
      <c r="THZ65" s="1"/>
      <c r="TIA65" s="1"/>
      <c r="TIB65" s="1"/>
      <c r="TIC65" s="1"/>
      <c r="TID65" s="1"/>
      <c r="TRU65" s="1"/>
      <c r="TRV65" s="1"/>
      <c r="TRW65" s="1"/>
      <c r="TRX65" s="1"/>
      <c r="TRY65" s="1"/>
      <c r="TRZ65" s="1"/>
      <c r="UBQ65" s="1"/>
      <c r="UBR65" s="1"/>
      <c r="UBS65" s="1"/>
      <c r="UBT65" s="1"/>
      <c r="UBU65" s="1"/>
      <c r="UBV65" s="1"/>
      <c r="ULM65" s="1"/>
      <c r="ULN65" s="1"/>
      <c r="ULO65" s="1"/>
      <c r="ULP65" s="1"/>
      <c r="ULQ65" s="1"/>
      <c r="ULR65" s="1"/>
      <c r="UVI65" s="1"/>
      <c r="UVJ65" s="1"/>
      <c r="UVK65" s="1"/>
      <c r="UVL65" s="1"/>
      <c r="UVM65" s="1"/>
      <c r="UVN65" s="1"/>
      <c r="VFE65" s="1"/>
      <c r="VFF65" s="1"/>
      <c r="VFG65" s="1"/>
      <c r="VFH65" s="1"/>
      <c r="VFI65" s="1"/>
      <c r="VFJ65" s="1"/>
      <c r="VPA65" s="1"/>
      <c r="VPB65" s="1"/>
      <c r="VPC65" s="1"/>
      <c r="VPD65" s="1"/>
      <c r="VPE65" s="1"/>
      <c r="VPF65" s="1"/>
      <c r="VYW65" s="1"/>
      <c r="VYX65" s="1"/>
      <c r="VYY65" s="1"/>
      <c r="VYZ65" s="1"/>
      <c r="VZA65" s="1"/>
      <c r="VZB65" s="1"/>
      <c r="WIS65" s="1"/>
      <c r="WIT65" s="1"/>
      <c r="WIU65" s="1"/>
      <c r="WIV65" s="1"/>
      <c r="WIW65" s="1"/>
      <c r="WIX65" s="1"/>
      <c r="WSO65" s="1"/>
      <c r="WSP65" s="1"/>
      <c r="WSQ65" s="1"/>
      <c r="WSR65" s="1"/>
      <c r="WSS65" s="1"/>
      <c r="WST65" s="1"/>
    </row>
    <row r="66" spans="1:958 1209:1982 2233:3006 3257:4030 4281:5054 5305:6078 6329:7102 7353:8126 8377:9150 9401:10174 10425:11198 11449:12222 12473:13246 13497:14270 14521:15294 15545:16062" ht="15.75" x14ac:dyDescent="0.25">
      <c r="A66" s="79" t="s">
        <v>478</v>
      </c>
      <c r="B66" s="76" t="s">
        <v>477</v>
      </c>
      <c r="C66" s="83"/>
      <c r="D66" s="259">
        <f>SUM(D67:D71)</f>
        <v>59504498.669999994</v>
      </c>
      <c r="E66" s="259">
        <f>SUM(E67:E71)</f>
        <v>60364793.319999993</v>
      </c>
      <c r="F66" s="259">
        <f>SUM(F67:F71)</f>
        <v>60364793.319999993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958 1209:1982 2233:3006 3257:4030 4281:5054 5305:6078 6329:7102 7353:8126 8377:9150 9401:10174 10425:11198 11449:12222 12473:13246 13497:14270 14521:15294 15545:16062" ht="60.75" x14ac:dyDescent="0.25">
      <c r="A67" s="70" t="s">
        <v>169</v>
      </c>
      <c r="B67" s="71" t="s">
        <v>477</v>
      </c>
      <c r="C67" s="84" t="s">
        <v>178</v>
      </c>
      <c r="D67" s="310">
        <f>'Приложение 4'!F190</f>
        <v>14094912.01</v>
      </c>
      <c r="E67" s="310">
        <f>'Приложение 4'!G190</f>
        <v>0</v>
      </c>
      <c r="F67" s="310">
        <f>'Приложение 4'!H190</f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958 1209:1982 2233:3006 3257:4030 4281:5054 5305:6078 6329:7102 7353:8126 8377:9150 9401:10174 10425:11198 11449:12222 12473:13246 13497:14270 14521:15294 15545:16062" ht="30.75" x14ac:dyDescent="0.25">
      <c r="A68" s="72" t="s">
        <v>170</v>
      </c>
      <c r="B68" s="71" t="s">
        <v>477</v>
      </c>
      <c r="C68" s="84" t="s">
        <v>181</v>
      </c>
      <c r="D68" s="310">
        <f>'Приложение 4'!F191</f>
        <v>31318240.829999998</v>
      </c>
      <c r="E68" s="310">
        <f>'Приложение 4'!G191</f>
        <v>0</v>
      </c>
      <c r="F68" s="310">
        <f>'Приложение 4'!H191</f>
        <v>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958 1209:1982 2233:3006 3257:4030 4281:5054 5305:6078 6329:7102 7353:8126 8377:9150 9401:10174 10425:11198 11449:12222 12473:13246 13497:14270 14521:15294 15545:16062" ht="15.75" x14ac:dyDescent="0.25">
      <c r="A69" s="70" t="s">
        <v>171</v>
      </c>
      <c r="B69" s="71" t="s">
        <v>477</v>
      </c>
      <c r="C69" s="84" t="s">
        <v>183</v>
      </c>
      <c r="D69" s="310">
        <f>'Приложение 4'!F192+'Приложение 4'!F147</f>
        <v>2149692.8199999998</v>
      </c>
      <c r="E69" s="310">
        <f>'Приложение 4'!G192+'Приложение 4'!G147</f>
        <v>16780500</v>
      </c>
      <c r="F69" s="310">
        <f>'Приложение 4'!H192+'Приложение 4'!H147</f>
        <v>16780500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958 1209:1982 2233:3006 3257:4030 4281:5054 5305:6078 6329:7102 7353:8126 8377:9150 9401:10174 10425:11198 11449:12222 12473:13246 13497:14270 14521:15294 15545:16062" ht="30.75" x14ac:dyDescent="0.25">
      <c r="A70" s="70" t="s">
        <v>173</v>
      </c>
      <c r="B70" s="71" t="s">
        <v>477</v>
      </c>
      <c r="C70" s="84" t="s">
        <v>227</v>
      </c>
      <c r="D70" s="310">
        <f>'Приложение 4'!F193</f>
        <v>11940006.01</v>
      </c>
      <c r="E70" s="310">
        <f>'Приложение 4'!G193</f>
        <v>11940006.01</v>
      </c>
      <c r="F70" s="310">
        <f>'Приложение 4'!H193</f>
        <v>11940006.01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958 1209:1982 2233:3006 3257:4030 4281:5054 5305:6078 6329:7102 7353:8126 8377:9150 9401:10174 10425:11198 11449:12222 12473:13246 13497:14270 14521:15294 15545:16062" ht="15.75" x14ac:dyDescent="0.25">
      <c r="A71" s="70" t="s">
        <v>172</v>
      </c>
      <c r="B71" s="71" t="s">
        <v>477</v>
      </c>
      <c r="C71" s="84" t="s">
        <v>179</v>
      </c>
      <c r="D71" s="310">
        <f>'Приложение 4'!F194</f>
        <v>1647</v>
      </c>
      <c r="E71" s="310">
        <f>'Приложение 4'!G194</f>
        <v>31644287.309999999</v>
      </c>
      <c r="F71" s="310">
        <f>'Приложение 4'!H194</f>
        <v>31644287.309999999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958 1209:1982 2233:3006 3257:4030 4281:5054 5305:6078 6329:7102 7353:8126 8377:9150 9401:10174 10425:11198 11449:12222 12473:13246 13497:14270 14521:15294 15545:16062" ht="15.75" x14ac:dyDescent="0.25">
      <c r="A72" s="75" t="s">
        <v>474</v>
      </c>
      <c r="B72" s="76" t="s">
        <v>476</v>
      </c>
      <c r="C72" s="84"/>
      <c r="D72" s="77">
        <f>SUM(D73:D77)</f>
        <v>973001584.61999989</v>
      </c>
      <c r="E72" s="77">
        <f>SUM(E73:E77)</f>
        <v>1004643993.2500001</v>
      </c>
      <c r="F72" s="77">
        <f>SUM(F73:F77)</f>
        <v>1004643993.2500001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958 1209:1982 2233:3006 3257:4030 4281:5054 5305:6078 6329:7102 7353:8126 8377:9150 9401:10174 10425:11198 11449:12222 12473:13246 13497:14270 14521:15294 15545:16062" ht="60.75" x14ac:dyDescent="0.25">
      <c r="A73" s="70" t="s">
        <v>169</v>
      </c>
      <c r="B73" s="71" t="s">
        <v>476</v>
      </c>
      <c r="C73" s="84" t="s">
        <v>178</v>
      </c>
      <c r="D73" s="311">
        <f>'Приложение 4'!F131+'Приложение 4'!F149+'Приложение 4'!F169+'Приложение 4'!F196</f>
        <v>403753243.42999995</v>
      </c>
      <c r="E73" s="310">
        <f>'Приложение 4'!G131+'Приложение 4'!G149+'Приложение 4'!G169+'Приложение 4'!G196</f>
        <v>404630634.06000006</v>
      </c>
      <c r="F73" s="310">
        <f>'Приложение 4'!H131+'Приложение 4'!H149+'Приложение 4'!H169+'Приложение 4'!H196</f>
        <v>404630634.06000006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958 1209:1982 2233:3006 3257:4030 4281:5054 5305:6078 6329:7102 7353:8126 8377:9150 9401:10174 10425:11198 11449:12222 12473:13246 13497:14270 14521:15294 15545:16062" ht="30.75" x14ac:dyDescent="0.25">
      <c r="A74" s="72" t="s">
        <v>170</v>
      </c>
      <c r="B74" s="71" t="s">
        <v>476</v>
      </c>
      <c r="C74" s="84" t="s">
        <v>181</v>
      </c>
      <c r="D74" s="310">
        <f>'Приложение 4'!F132+'Приложение 4'!F150+'Приложение 4'!F170+'Приложение 4'!F197</f>
        <v>259645102.28999999</v>
      </c>
      <c r="E74" s="310">
        <f>'Приложение 4'!G132+'Приложение 4'!G150+'Приложение 4'!G170+'Приложение 4'!G197</f>
        <v>287752153.81999999</v>
      </c>
      <c r="F74" s="310">
        <f>'Приложение 4'!H132+'Приложение 4'!H150+'Приложение 4'!H170+'Приложение 4'!H197</f>
        <v>287752153.81999999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958 1209:1982 2233:3006 3257:4030 4281:5054 5305:6078 6329:7102 7353:8126 8377:9150 9401:10174 10425:11198 11449:12222 12473:13246 13497:14270 14521:15294 15545:16062" ht="15.75" x14ac:dyDescent="0.25">
      <c r="A75" s="70" t="s">
        <v>171</v>
      </c>
      <c r="B75" s="71" t="s">
        <v>476</v>
      </c>
      <c r="C75" s="84" t="s">
        <v>183</v>
      </c>
      <c r="D75" s="310">
        <f>'Приложение 4'!F133+'Приложение 4'!F151+'Приложение 4'!F198</f>
        <v>11922903.16</v>
      </c>
      <c r="E75" s="310">
        <f>'Приложение 4'!G133+'Приложение 4'!G151</f>
        <v>0</v>
      </c>
      <c r="F75" s="310">
        <f>'Приложение 4'!H133+'Приложение 4'!H151</f>
        <v>0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958 1209:1982 2233:3006 3257:4030 4281:5054 5305:6078 6329:7102 7353:8126 8377:9150 9401:10174 10425:11198 11449:12222 12473:13246 13497:14270 14521:15294 15545:16062" ht="30.75" x14ac:dyDescent="0.25">
      <c r="A76" s="70" t="s">
        <v>173</v>
      </c>
      <c r="B76" s="71" t="s">
        <v>476</v>
      </c>
      <c r="C76" s="84" t="s">
        <v>227</v>
      </c>
      <c r="D76" s="310">
        <f>'Приложение 4'!F152+'Приложение 4'!F199</f>
        <v>286454720.48000002</v>
      </c>
      <c r="E76" s="310">
        <f>'Приложение 4'!G152</f>
        <v>285393540.51999998</v>
      </c>
      <c r="F76" s="310">
        <f>'Приложение 4'!H152</f>
        <v>285393540.51999998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958 1209:1982 2233:3006 3257:4030 4281:5054 5305:6078 6329:7102 7353:8126 8377:9150 9401:10174 10425:11198 11449:12222 12473:13246 13497:14270 14521:15294 15545:16062" ht="15.75" x14ac:dyDescent="0.25">
      <c r="A77" s="70" t="s">
        <v>172</v>
      </c>
      <c r="B77" s="71" t="s">
        <v>476</v>
      </c>
      <c r="C77" s="84" t="s">
        <v>179</v>
      </c>
      <c r="D77" s="310">
        <f>'Приложение 4'!F134+'Приложение 4'!F153+'Приложение 4'!F200+'Приложение 4'!F201</f>
        <v>11225615.26</v>
      </c>
      <c r="E77" s="310">
        <f>'Приложение 4'!G134+'Приложение 4'!G153+'Приложение 4'!G200+'Приложение 4'!G201</f>
        <v>26867664.850000001</v>
      </c>
      <c r="F77" s="310">
        <f>'Приложение 4'!H134+'Приложение 4'!H153+'Приложение 4'!H200+'Приложение 4'!H201</f>
        <v>26867664.850000001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958 1209:1982 2233:3006 3257:4030 4281:5054 5305:6078 6329:7102 7353:8126 8377:9150 9401:10174 10425:11198 11449:12222 12473:13246 13497:14270 14521:15294 15545:16062" ht="31.5" x14ac:dyDescent="0.25">
      <c r="A78" s="67" t="s">
        <v>180</v>
      </c>
      <c r="B78" s="68" t="s">
        <v>492</v>
      </c>
      <c r="C78" s="69"/>
      <c r="D78" s="74">
        <f>D79+D82</f>
        <v>135018540.59</v>
      </c>
      <c r="E78" s="74">
        <f>E79+E82</f>
        <v>153778367.84</v>
      </c>
      <c r="F78" s="74">
        <f>F79+F82</f>
        <v>32605434.5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958 1209:1982 2233:3006 3257:4030 4281:5054 5305:6078 6329:7102 7353:8126 8377:9150 9401:10174 10425:11198 11449:12222 12473:13246 13497:14270 14521:15294 15545:16062" ht="15.75" x14ac:dyDescent="0.25">
      <c r="A79" s="79" t="s">
        <v>478</v>
      </c>
      <c r="B79" s="76" t="s">
        <v>504</v>
      </c>
      <c r="C79" s="62"/>
      <c r="D79" s="259">
        <f>SUM(D80:D81)</f>
        <v>114527966.65000001</v>
      </c>
      <c r="E79" s="259">
        <f>SUM(E80:E81)</f>
        <v>153778367.84</v>
      </c>
      <c r="F79" s="259">
        <f>SUM(F80:F81)</f>
        <v>32605434.5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958 1209:1982 2233:3006 3257:4030 4281:5054 5305:6078 6329:7102 7353:8126 8377:9150 9401:10174 10425:11198 11449:12222 12473:13246 13497:14270 14521:15294 15545:16062" ht="30.75" x14ac:dyDescent="0.25">
      <c r="A80" s="72" t="s">
        <v>170</v>
      </c>
      <c r="B80" s="71" t="s">
        <v>504</v>
      </c>
      <c r="C80" s="59">
        <v>200</v>
      </c>
      <c r="D80" s="310">
        <f>'Приложение 4'!F106</f>
        <v>94807966.650000006</v>
      </c>
      <c r="E80" s="310">
        <f>'Приложение 4'!G106</f>
        <v>136628367.84</v>
      </c>
      <c r="F80" s="310">
        <f>'Приложение 4'!H106</f>
        <v>15455434.5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958 1209:1982 2233:3006 3257:4030 4281:5054 5305:6078 6329:7102 7353:8126 8377:9150 9401:10174 10425:11198 11449:12222 12473:13246 13497:14270 14521:15294 15545:16062" ht="15.75" x14ac:dyDescent="0.25">
      <c r="A81" s="70" t="s">
        <v>172</v>
      </c>
      <c r="B81" s="71" t="s">
        <v>504</v>
      </c>
      <c r="C81" s="59">
        <v>800</v>
      </c>
      <c r="D81" s="310">
        <f>'Приложение 4'!F102</f>
        <v>19720000</v>
      </c>
      <c r="E81" s="310">
        <f>'Приложение 4'!G102</f>
        <v>17150000</v>
      </c>
      <c r="F81" s="310">
        <f>'Приложение 4'!H102</f>
        <v>17150000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958 1209:1982 2233:3006 3257:4030 4281:5054 5305:6078 6329:7102 7353:8126 8377:9150 9401:10174 10425:11198 11449:12222 12473:13246 13497:14270 14521:15294 15545:16062" ht="15.75" x14ac:dyDescent="0.25">
      <c r="A82" s="79" t="s">
        <v>474</v>
      </c>
      <c r="B82" s="71" t="s">
        <v>624</v>
      </c>
      <c r="C82" s="59"/>
      <c r="D82" s="310">
        <f>D83</f>
        <v>20490573.940000001</v>
      </c>
      <c r="E82" s="310">
        <f>E83</f>
        <v>0</v>
      </c>
      <c r="F82" s="310">
        <f>F83</f>
        <v>0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958 1209:1982 2233:3006 3257:4030 4281:5054 5305:6078 6329:7102 7353:8126 8377:9150 9401:10174 10425:11198 11449:12222 12473:13246 13497:14270 14521:15294 15545:16062" ht="30.75" x14ac:dyDescent="0.25">
      <c r="A83" s="70" t="s">
        <v>170</v>
      </c>
      <c r="B83" s="71" t="s">
        <v>624</v>
      </c>
      <c r="C83" s="59">
        <v>200</v>
      </c>
      <c r="D83" s="310">
        <f>'Приложение 4'!F108</f>
        <v>20490573.940000001</v>
      </c>
      <c r="E83" s="310">
        <f>'Приложение 4'!G108</f>
        <v>0</v>
      </c>
      <c r="F83" s="310">
        <f>'Приложение 4'!H108</f>
        <v>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958 1209:1982 2233:3006 3257:4030 4281:5054 5305:6078 6329:7102 7353:8126 8377:9150 9401:10174 10425:11198 11449:12222 12473:13246 13497:14270 14521:15294 15545:16062" ht="47.25" x14ac:dyDescent="0.25">
      <c r="A84" s="80" t="s">
        <v>184</v>
      </c>
      <c r="B84" s="81" t="s">
        <v>501</v>
      </c>
      <c r="C84" s="286"/>
      <c r="D84" s="74">
        <f>D85+D89</f>
        <v>56802095.849999994</v>
      </c>
      <c r="E84" s="74">
        <f>E85+E89</f>
        <v>59808462.119999997</v>
      </c>
      <c r="F84" s="74">
        <f>F85+F89</f>
        <v>59808462.119999997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958 1209:1982 2233:3006 3257:4030 4281:5054 5305:6078 6329:7102 7353:8126 8377:9150 9401:10174 10425:11198 11449:12222 12473:13246 13497:14270 14521:15294 15545:16062" ht="15.75" x14ac:dyDescent="0.25">
      <c r="A85" s="82" t="s">
        <v>478</v>
      </c>
      <c r="B85" s="83" t="s">
        <v>502</v>
      </c>
      <c r="C85" s="59"/>
      <c r="D85" s="259">
        <f>SUM(D86:D88)</f>
        <v>53802095.849999994</v>
      </c>
      <c r="E85" s="259">
        <f>SUM(E86:E88)</f>
        <v>56808462.119999997</v>
      </c>
      <c r="F85" s="259">
        <f>SUM(F86:F88)</f>
        <v>56808462.119999997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958 1209:1982 2233:3006 3257:4030 4281:5054 5305:6078 6329:7102 7353:8126 8377:9150 9401:10174 10425:11198 11449:12222 12473:13246 13497:14270 14521:15294 15545:16062" ht="30.75" x14ac:dyDescent="0.25">
      <c r="A86" s="72" t="s">
        <v>170</v>
      </c>
      <c r="B86" s="84" t="s">
        <v>502</v>
      </c>
      <c r="C86" s="59">
        <v>200</v>
      </c>
      <c r="D86" s="310">
        <f>'Приложение 4'!F50</f>
        <v>8655947.9000000004</v>
      </c>
      <c r="E86" s="310">
        <f>'Приложение 4'!G50</f>
        <v>9735155</v>
      </c>
      <c r="F86" s="310">
        <f>'Приложение 4'!H50</f>
        <v>9735155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958 1209:1982 2233:3006 3257:4030 4281:5054 5305:6078 6329:7102 7353:8126 8377:9150 9401:10174 10425:11198 11449:12222 12473:13246 13497:14270 14521:15294 15545:16062" ht="15.75" x14ac:dyDescent="0.25">
      <c r="A87" s="72" t="s">
        <v>171</v>
      </c>
      <c r="B87" s="84" t="s">
        <v>502</v>
      </c>
      <c r="C87" s="59">
        <v>300</v>
      </c>
      <c r="D87" s="310">
        <f>'Приложение 4'!F254+'Приложение 4'!F274</f>
        <v>38100000</v>
      </c>
      <c r="E87" s="310">
        <f>'Приложение 4'!G254+'Приложение 4'!G274</f>
        <v>39100000</v>
      </c>
      <c r="F87" s="310">
        <f>'Приложение 4'!H254+'Приложение 4'!H274</f>
        <v>40300000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958 1209:1982 2233:3006 3257:4030 4281:5054 5305:6078 6329:7102 7353:8126 8377:9150 9401:10174 10425:11198 11449:12222 12473:13246 13497:14270 14521:15294 15545:16062" ht="30.75" x14ac:dyDescent="0.25">
      <c r="A88" s="72" t="s">
        <v>175</v>
      </c>
      <c r="B88" s="84" t="s">
        <v>502</v>
      </c>
      <c r="C88" s="59">
        <v>400</v>
      </c>
      <c r="D88" s="310">
        <f>'Приложение 4'!F255</f>
        <v>7046147.9499999993</v>
      </c>
      <c r="E88" s="310">
        <f>'Приложение 4'!G255</f>
        <v>7973307.1200000001</v>
      </c>
      <c r="F88" s="310">
        <f>'Приложение 4'!H255</f>
        <v>6773307.1200000001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958 1209:1982 2233:3006 3257:4030 4281:5054 5305:6078 6329:7102 7353:8126 8377:9150 9401:10174 10425:11198 11449:12222 12473:13246 13497:14270 14521:15294 15545:16062" ht="15.75" x14ac:dyDescent="0.25">
      <c r="A89" s="79" t="s">
        <v>474</v>
      </c>
      <c r="B89" s="76" t="s">
        <v>503</v>
      </c>
      <c r="C89" s="62"/>
      <c r="D89" s="259">
        <f>D90</f>
        <v>3000000</v>
      </c>
      <c r="E89" s="259">
        <f>E90</f>
        <v>3000000</v>
      </c>
      <c r="F89" s="259">
        <f>F90</f>
        <v>3000000</v>
      </c>
    </row>
    <row r="90" spans="1:958 1209:1982 2233:3006 3257:4030 4281:5054 5305:6078 6329:7102 7353:8126 8377:9150 9401:10174 10425:11198 11449:12222 12473:13246 13497:14270 14521:15294 15545:16062" ht="15.75" x14ac:dyDescent="0.25">
      <c r="A90" s="72" t="s">
        <v>171</v>
      </c>
      <c r="B90" s="71" t="s">
        <v>503</v>
      </c>
      <c r="C90" s="59">
        <v>300</v>
      </c>
      <c r="D90" s="310">
        <f>'Приложение 4'!F257</f>
        <v>3000000</v>
      </c>
      <c r="E90" s="310">
        <f>'Приложение 4'!G257</f>
        <v>3000000</v>
      </c>
      <c r="F90" s="310">
        <f>'Приложение 4'!H257</f>
        <v>3000000</v>
      </c>
    </row>
    <row r="91" spans="1:958 1209:1982 2233:3006 3257:4030 4281:5054 5305:6078 6329:7102 7353:8126 8377:9150 9401:10174 10425:11198 11449:12222 12473:13246 13497:14270 14521:15294 15545:16062" s="64" customFormat="1" ht="15.75" x14ac:dyDescent="0.25">
      <c r="A91" s="80" t="s">
        <v>668</v>
      </c>
      <c r="B91" s="68" t="s">
        <v>669</v>
      </c>
      <c r="C91" s="69"/>
      <c r="D91" s="74">
        <f>D92</f>
        <v>1037312.96</v>
      </c>
      <c r="E91" s="74">
        <f>E92</f>
        <v>0</v>
      </c>
      <c r="F91" s="74">
        <f>F92</f>
        <v>0</v>
      </c>
      <c r="GC91" s="66"/>
      <c r="GD91" s="66"/>
      <c r="GE91" s="66"/>
      <c r="GF91" s="66"/>
      <c r="GG91" s="66"/>
      <c r="GH91" s="66"/>
      <c r="PY91" s="66"/>
      <c r="PZ91" s="66"/>
      <c r="QA91" s="66"/>
      <c r="QB91" s="66"/>
      <c r="QC91" s="66"/>
      <c r="QD91" s="66"/>
      <c r="ZU91" s="66"/>
      <c r="ZV91" s="66"/>
      <c r="ZW91" s="66"/>
      <c r="ZX91" s="66"/>
      <c r="ZY91" s="66"/>
      <c r="ZZ91" s="66"/>
      <c r="AJQ91" s="66"/>
      <c r="AJR91" s="66"/>
      <c r="AJS91" s="66"/>
      <c r="AJT91" s="66"/>
      <c r="AJU91" s="66"/>
      <c r="AJV91" s="66"/>
      <c r="ATM91" s="66"/>
      <c r="ATN91" s="66"/>
      <c r="ATO91" s="66"/>
      <c r="ATP91" s="66"/>
      <c r="ATQ91" s="66"/>
      <c r="ATR91" s="66"/>
      <c r="BDI91" s="66"/>
      <c r="BDJ91" s="66"/>
      <c r="BDK91" s="66"/>
      <c r="BDL91" s="66"/>
      <c r="BDM91" s="66"/>
      <c r="BDN91" s="66"/>
      <c r="BNE91" s="66"/>
      <c r="BNF91" s="66"/>
      <c r="BNG91" s="66"/>
      <c r="BNH91" s="66"/>
      <c r="BNI91" s="66"/>
      <c r="BNJ91" s="66"/>
      <c r="BXA91" s="66"/>
      <c r="BXB91" s="66"/>
      <c r="BXC91" s="66"/>
      <c r="BXD91" s="66"/>
      <c r="BXE91" s="66"/>
      <c r="BXF91" s="66"/>
      <c r="CGW91" s="66"/>
      <c r="CGX91" s="66"/>
      <c r="CGY91" s="66"/>
      <c r="CGZ91" s="66"/>
      <c r="CHA91" s="66"/>
      <c r="CHB91" s="66"/>
      <c r="CQS91" s="66"/>
      <c r="CQT91" s="66"/>
      <c r="CQU91" s="66"/>
      <c r="CQV91" s="66"/>
      <c r="CQW91" s="66"/>
      <c r="CQX91" s="66"/>
      <c r="DAO91" s="66"/>
      <c r="DAP91" s="66"/>
      <c r="DAQ91" s="66"/>
      <c r="DAR91" s="66"/>
      <c r="DAS91" s="66"/>
      <c r="DAT91" s="66"/>
      <c r="DKK91" s="66"/>
      <c r="DKL91" s="66"/>
      <c r="DKM91" s="66"/>
      <c r="DKN91" s="66"/>
      <c r="DKO91" s="66"/>
      <c r="DKP91" s="66"/>
      <c r="DUG91" s="66"/>
      <c r="DUH91" s="66"/>
      <c r="DUI91" s="66"/>
      <c r="DUJ91" s="66"/>
      <c r="DUK91" s="66"/>
      <c r="DUL91" s="66"/>
      <c r="EEC91" s="66"/>
      <c r="EED91" s="66"/>
      <c r="EEE91" s="66"/>
      <c r="EEF91" s="66"/>
      <c r="EEG91" s="66"/>
      <c r="EEH91" s="66"/>
      <c r="ENY91" s="66"/>
      <c r="ENZ91" s="66"/>
      <c r="EOA91" s="66"/>
      <c r="EOB91" s="66"/>
      <c r="EOC91" s="66"/>
      <c r="EOD91" s="66"/>
      <c r="EXU91" s="66"/>
      <c r="EXV91" s="66"/>
      <c r="EXW91" s="66"/>
      <c r="EXX91" s="66"/>
      <c r="EXY91" s="66"/>
      <c r="EXZ91" s="66"/>
      <c r="FHQ91" s="66"/>
      <c r="FHR91" s="66"/>
      <c r="FHS91" s="66"/>
      <c r="FHT91" s="66"/>
      <c r="FHU91" s="66"/>
      <c r="FHV91" s="66"/>
      <c r="FRM91" s="66"/>
      <c r="FRN91" s="66"/>
      <c r="FRO91" s="66"/>
      <c r="FRP91" s="66"/>
      <c r="FRQ91" s="66"/>
      <c r="FRR91" s="66"/>
      <c r="GBI91" s="66"/>
      <c r="GBJ91" s="66"/>
      <c r="GBK91" s="66"/>
      <c r="GBL91" s="66"/>
      <c r="GBM91" s="66"/>
      <c r="GBN91" s="66"/>
      <c r="GLE91" s="66"/>
      <c r="GLF91" s="66"/>
      <c r="GLG91" s="66"/>
      <c r="GLH91" s="66"/>
      <c r="GLI91" s="66"/>
      <c r="GLJ91" s="66"/>
      <c r="GVA91" s="66"/>
      <c r="GVB91" s="66"/>
      <c r="GVC91" s="66"/>
      <c r="GVD91" s="66"/>
      <c r="GVE91" s="66"/>
      <c r="GVF91" s="66"/>
      <c r="HEW91" s="66"/>
      <c r="HEX91" s="66"/>
      <c r="HEY91" s="66"/>
      <c r="HEZ91" s="66"/>
      <c r="HFA91" s="66"/>
      <c r="HFB91" s="66"/>
      <c r="HOS91" s="66"/>
      <c r="HOT91" s="66"/>
      <c r="HOU91" s="66"/>
      <c r="HOV91" s="66"/>
      <c r="HOW91" s="66"/>
      <c r="HOX91" s="66"/>
      <c r="HYO91" s="66"/>
      <c r="HYP91" s="66"/>
      <c r="HYQ91" s="66"/>
      <c r="HYR91" s="66"/>
      <c r="HYS91" s="66"/>
      <c r="HYT91" s="66"/>
      <c r="IIK91" s="66"/>
      <c r="IIL91" s="66"/>
      <c r="IIM91" s="66"/>
      <c r="IIN91" s="66"/>
      <c r="IIO91" s="66"/>
      <c r="IIP91" s="66"/>
      <c r="ISG91" s="66"/>
      <c r="ISH91" s="66"/>
      <c r="ISI91" s="66"/>
      <c r="ISJ91" s="66"/>
      <c r="ISK91" s="66"/>
      <c r="ISL91" s="66"/>
      <c r="JCC91" s="66"/>
      <c r="JCD91" s="66"/>
      <c r="JCE91" s="66"/>
      <c r="JCF91" s="66"/>
      <c r="JCG91" s="66"/>
      <c r="JCH91" s="66"/>
      <c r="JLY91" s="66"/>
      <c r="JLZ91" s="66"/>
      <c r="JMA91" s="66"/>
      <c r="JMB91" s="66"/>
      <c r="JMC91" s="66"/>
      <c r="JMD91" s="66"/>
      <c r="JVU91" s="66"/>
      <c r="JVV91" s="66"/>
      <c r="JVW91" s="66"/>
      <c r="JVX91" s="66"/>
      <c r="JVY91" s="66"/>
      <c r="JVZ91" s="66"/>
      <c r="KFQ91" s="66"/>
      <c r="KFR91" s="66"/>
      <c r="KFS91" s="66"/>
      <c r="KFT91" s="66"/>
      <c r="KFU91" s="66"/>
      <c r="KFV91" s="66"/>
      <c r="KPM91" s="66"/>
      <c r="KPN91" s="66"/>
      <c r="KPO91" s="66"/>
      <c r="KPP91" s="66"/>
      <c r="KPQ91" s="66"/>
      <c r="KPR91" s="66"/>
      <c r="KZI91" s="66"/>
      <c r="KZJ91" s="66"/>
      <c r="KZK91" s="66"/>
      <c r="KZL91" s="66"/>
      <c r="KZM91" s="66"/>
      <c r="KZN91" s="66"/>
      <c r="LJE91" s="66"/>
      <c r="LJF91" s="66"/>
      <c r="LJG91" s="66"/>
      <c r="LJH91" s="66"/>
      <c r="LJI91" s="66"/>
      <c r="LJJ91" s="66"/>
      <c r="LTA91" s="66"/>
      <c r="LTB91" s="66"/>
      <c r="LTC91" s="66"/>
      <c r="LTD91" s="66"/>
      <c r="LTE91" s="66"/>
      <c r="LTF91" s="66"/>
      <c r="MCW91" s="66"/>
      <c r="MCX91" s="66"/>
      <c r="MCY91" s="66"/>
      <c r="MCZ91" s="66"/>
      <c r="MDA91" s="66"/>
      <c r="MDB91" s="66"/>
      <c r="MMS91" s="66"/>
      <c r="MMT91" s="66"/>
      <c r="MMU91" s="66"/>
      <c r="MMV91" s="66"/>
      <c r="MMW91" s="66"/>
      <c r="MMX91" s="66"/>
      <c r="MWO91" s="66"/>
      <c r="MWP91" s="66"/>
      <c r="MWQ91" s="66"/>
      <c r="MWR91" s="66"/>
      <c r="MWS91" s="66"/>
      <c r="MWT91" s="66"/>
      <c r="NGK91" s="66"/>
      <c r="NGL91" s="66"/>
      <c r="NGM91" s="66"/>
      <c r="NGN91" s="66"/>
      <c r="NGO91" s="66"/>
      <c r="NGP91" s="66"/>
      <c r="NQG91" s="66"/>
      <c r="NQH91" s="66"/>
      <c r="NQI91" s="66"/>
      <c r="NQJ91" s="66"/>
      <c r="NQK91" s="66"/>
      <c r="NQL91" s="66"/>
      <c r="OAC91" s="66"/>
      <c r="OAD91" s="66"/>
      <c r="OAE91" s="66"/>
      <c r="OAF91" s="66"/>
      <c r="OAG91" s="66"/>
      <c r="OAH91" s="66"/>
      <c r="OJY91" s="66"/>
      <c r="OJZ91" s="66"/>
      <c r="OKA91" s="66"/>
      <c r="OKB91" s="66"/>
      <c r="OKC91" s="66"/>
      <c r="OKD91" s="66"/>
      <c r="OTU91" s="66"/>
      <c r="OTV91" s="66"/>
      <c r="OTW91" s="66"/>
      <c r="OTX91" s="66"/>
      <c r="OTY91" s="66"/>
      <c r="OTZ91" s="66"/>
      <c r="PDQ91" s="66"/>
      <c r="PDR91" s="66"/>
      <c r="PDS91" s="66"/>
      <c r="PDT91" s="66"/>
      <c r="PDU91" s="66"/>
      <c r="PDV91" s="66"/>
      <c r="PNM91" s="66"/>
      <c r="PNN91" s="66"/>
      <c r="PNO91" s="66"/>
      <c r="PNP91" s="66"/>
      <c r="PNQ91" s="66"/>
      <c r="PNR91" s="66"/>
      <c r="PXI91" s="66"/>
      <c r="PXJ91" s="66"/>
      <c r="PXK91" s="66"/>
      <c r="PXL91" s="66"/>
      <c r="PXM91" s="66"/>
      <c r="PXN91" s="66"/>
      <c r="QHE91" s="66"/>
      <c r="QHF91" s="66"/>
      <c r="QHG91" s="66"/>
      <c r="QHH91" s="66"/>
      <c r="QHI91" s="66"/>
      <c r="QHJ91" s="66"/>
      <c r="QRA91" s="66"/>
      <c r="QRB91" s="66"/>
      <c r="QRC91" s="66"/>
      <c r="QRD91" s="66"/>
      <c r="QRE91" s="66"/>
      <c r="QRF91" s="66"/>
      <c r="RAW91" s="66"/>
      <c r="RAX91" s="66"/>
      <c r="RAY91" s="66"/>
      <c r="RAZ91" s="66"/>
      <c r="RBA91" s="66"/>
      <c r="RBB91" s="66"/>
      <c r="RKS91" s="66"/>
      <c r="RKT91" s="66"/>
      <c r="RKU91" s="66"/>
      <c r="RKV91" s="66"/>
      <c r="RKW91" s="66"/>
      <c r="RKX91" s="66"/>
      <c r="RUO91" s="66"/>
      <c r="RUP91" s="66"/>
      <c r="RUQ91" s="66"/>
      <c r="RUR91" s="66"/>
      <c r="RUS91" s="66"/>
      <c r="RUT91" s="66"/>
      <c r="SEK91" s="66"/>
      <c r="SEL91" s="66"/>
      <c r="SEM91" s="66"/>
      <c r="SEN91" s="66"/>
      <c r="SEO91" s="66"/>
      <c r="SEP91" s="66"/>
      <c r="SOG91" s="66"/>
      <c r="SOH91" s="66"/>
      <c r="SOI91" s="66"/>
      <c r="SOJ91" s="66"/>
      <c r="SOK91" s="66"/>
      <c r="SOL91" s="66"/>
      <c r="SYC91" s="66"/>
      <c r="SYD91" s="66"/>
      <c r="SYE91" s="66"/>
      <c r="SYF91" s="66"/>
      <c r="SYG91" s="66"/>
      <c r="SYH91" s="66"/>
      <c r="THY91" s="66"/>
      <c r="THZ91" s="66"/>
      <c r="TIA91" s="66"/>
      <c r="TIB91" s="66"/>
      <c r="TIC91" s="66"/>
      <c r="TID91" s="66"/>
      <c r="TRU91" s="66"/>
      <c r="TRV91" s="66"/>
      <c r="TRW91" s="66"/>
      <c r="TRX91" s="66"/>
      <c r="TRY91" s="66"/>
      <c r="TRZ91" s="66"/>
      <c r="UBQ91" s="66"/>
      <c r="UBR91" s="66"/>
      <c r="UBS91" s="66"/>
      <c r="UBT91" s="66"/>
      <c r="UBU91" s="66"/>
      <c r="UBV91" s="66"/>
      <c r="ULM91" s="66"/>
      <c r="ULN91" s="66"/>
      <c r="ULO91" s="66"/>
      <c r="ULP91" s="66"/>
      <c r="ULQ91" s="66"/>
      <c r="ULR91" s="66"/>
      <c r="UVI91" s="66"/>
      <c r="UVJ91" s="66"/>
      <c r="UVK91" s="66"/>
      <c r="UVL91" s="66"/>
      <c r="UVM91" s="66"/>
      <c r="UVN91" s="66"/>
      <c r="VFE91" s="66"/>
      <c r="VFF91" s="66"/>
      <c r="VFG91" s="66"/>
      <c r="VFH91" s="66"/>
      <c r="VFI91" s="66"/>
      <c r="VFJ91" s="66"/>
      <c r="VPA91" s="66"/>
      <c r="VPB91" s="66"/>
      <c r="VPC91" s="66"/>
      <c r="VPD91" s="66"/>
      <c r="VPE91" s="66"/>
      <c r="VPF91" s="66"/>
      <c r="VYW91" s="66"/>
      <c r="VYX91" s="66"/>
      <c r="VYY91" s="66"/>
      <c r="VYZ91" s="66"/>
      <c r="VZA91" s="66"/>
      <c r="VZB91" s="66"/>
      <c r="WIS91" s="66"/>
      <c r="WIT91" s="66"/>
      <c r="WIU91" s="66"/>
      <c r="WIV91" s="66"/>
      <c r="WIW91" s="66"/>
      <c r="WIX91" s="66"/>
      <c r="WSO91" s="66"/>
      <c r="WSP91" s="66"/>
      <c r="WSQ91" s="66"/>
      <c r="WSR91" s="66"/>
      <c r="WSS91" s="66"/>
      <c r="WST91" s="66"/>
    </row>
    <row r="92" spans="1:958 1209:1982 2233:3006 3257:4030 4281:5054 5305:6078 6329:7102 7353:8126 8377:9150 9401:10174 10425:11198 11449:12222 12473:13246 13497:14270 14521:15294 15545:16062" ht="15.75" x14ac:dyDescent="0.25">
      <c r="A92" s="82" t="s">
        <v>478</v>
      </c>
      <c r="B92" s="71" t="s">
        <v>670</v>
      </c>
      <c r="C92" s="59"/>
      <c r="D92" s="310">
        <f>SUM(D93:D94)</f>
        <v>1037312.96</v>
      </c>
      <c r="E92" s="310">
        <f>SUM(E93:E94)</f>
        <v>0</v>
      </c>
      <c r="F92" s="310">
        <f>SUM(F93:F94)</f>
        <v>0</v>
      </c>
    </row>
    <row r="93" spans="1:958 1209:1982 2233:3006 3257:4030 4281:5054 5305:6078 6329:7102 7353:8126 8377:9150 9401:10174 10425:11198 11449:12222 12473:13246 13497:14270 14521:15294 15545:16062" ht="30.75" x14ac:dyDescent="0.25">
      <c r="A93" s="72" t="s">
        <v>175</v>
      </c>
      <c r="B93" s="71" t="s">
        <v>670</v>
      </c>
      <c r="C93" s="59">
        <v>400</v>
      </c>
      <c r="D93" s="310">
        <f>'Приложение 4'!F219</f>
        <v>981509.22</v>
      </c>
      <c r="E93" s="310">
        <f>'Приложение 4'!G219</f>
        <v>0</v>
      </c>
      <c r="F93" s="310">
        <f>'Приложение 4'!H219</f>
        <v>0</v>
      </c>
    </row>
    <row r="94" spans="1:958 1209:1982 2233:3006 3257:4030 4281:5054 5305:6078 6329:7102 7353:8126 8377:9150 9401:10174 10425:11198 11449:12222 12473:13246 13497:14270 14521:15294 15545:16062" ht="15.75" x14ac:dyDescent="0.25">
      <c r="A94" s="70" t="s">
        <v>172</v>
      </c>
      <c r="B94" s="71" t="s">
        <v>670</v>
      </c>
      <c r="C94" s="59">
        <v>800</v>
      </c>
      <c r="D94" s="310">
        <f>'Приложение 4'!F220</f>
        <v>55803.74</v>
      </c>
      <c r="E94" s="310">
        <f>'Приложение 4'!G220</f>
        <v>0</v>
      </c>
      <c r="F94" s="310">
        <f>'Приложение 4'!H220</f>
        <v>0</v>
      </c>
    </row>
    <row r="95" spans="1:958 1209:1982 2233:3006 3257:4030 4281:5054 5305:6078 6329:7102 7353:8126 8377:9150 9401:10174 10425:11198 11449:12222 12473:13246 13497:14270 14521:15294 15545:16062" ht="63" x14ac:dyDescent="0.25">
      <c r="A95" s="80" t="s">
        <v>177</v>
      </c>
      <c r="B95" s="81" t="s">
        <v>486</v>
      </c>
      <c r="C95" s="81"/>
      <c r="D95" s="74">
        <f>D96+D98</f>
        <v>127697345.34</v>
      </c>
      <c r="E95" s="74">
        <f>E96+E98</f>
        <v>52756861.270000003</v>
      </c>
      <c r="F95" s="74">
        <f>F96+F98</f>
        <v>86827888.820000008</v>
      </c>
    </row>
    <row r="96" spans="1:958 1209:1982 2233:3006 3257:4030 4281:5054 5305:6078 6329:7102 7353:8126 8377:9150 9401:10174 10425:11198 11449:12222 12473:13246 13497:14270 14521:15294 15545:16062" s="64" customFormat="1" ht="15.75" x14ac:dyDescent="0.25">
      <c r="A96" s="82" t="s">
        <v>478</v>
      </c>
      <c r="B96" s="83" t="s">
        <v>487</v>
      </c>
      <c r="C96" s="83"/>
      <c r="D96" s="77">
        <f>D97</f>
        <v>125132800.37</v>
      </c>
      <c r="E96" s="77">
        <f>E97</f>
        <v>50382480.370000005</v>
      </c>
      <c r="F96" s="77">
        <f>F97</f>
        <v>77992918.430000007</v>
      </c>
    </row>
    <row r="97" spans="1:16307" ht="15.75" x14ac:dyDescent="0.25">
      <c r="A97" s="70" t="s">
        <v>172</v>
      </c>
      <c r="B97" s="84" t="s">
        <v>487</v>
      </c>
      <c r="C97" s="84" t="s">
        <v>179</v>
      </c>
      <c r="D97" s="311">
        <f>'Приложение 4'!F90</f>
        <v>125132800.37</v>
      </c>
      <c r="E97" s="311">
        <f>'Приложение 4'!G90</f>
        <v>50382480.370000005</v>
      </c>
      <c r="F97" s="311">
        <f>'Приложение 4'!H90</f>
        <v>77992918.430000007</v>
      </c>
      <c r="GC97" s="1"/>
      <c r="GD97" s="1"/>
      <c r="GE97" s="1"/>
      <c r="GF97" s="1"/>
      <c r="GG97" s="1"/>
      <c r="GH97" s="1"/>
      <c r="PY97" s="1"/>
      <c r="PZ97" s="1"/>
      <c r="QA97" s="1"/>
      <c r="QB97" s="1"/>
      <c r="QC97" s="1"/>
      <c r="QD97" s="1"/>
      <c r="ZU97" s="1"/>
      <c r="ZV97" s="1"/>
      <c r="ZW97" s="1"/>
      <c r="ZX97" s="1"/>
      <c r="ZY97" s="1"/>
      <c r="ZZ97" s="1"/>
      <c r="AJQ97" s="1"/>
      <c r="AJR97" s="1"/>
      <c r="AJS97" s="1"/>
      <c r="AJT97" s="1"/>
      <c r="AJU97" s="1"/>
      <c r="AJV97" s="1"/>
      <c r="ATM97" s="1"/>
      <c r="ATN97" s="1"/>
      <c r="ATO97" s="1"/>
      <c r="ATP97" s="1"/>
      <c r="ATQ97" s="1"/>
      <c r="ATR97" s="1"/>
      <c r="BDI97" s="1"/>
      <c r="BDJ97" s="1"/>
      <c r="BDK97" s="1"/>
      <c r="BDL97" s="1"/>
      <c r="BDM97" s="1"/>
      <c r="BDN97" s="1"/>
      <c r="BNE97" s="1"/>
      <c r="BNF97" s="1"/>
      <c r="BNG97" s="1"/>
      <c r="BNH97" s="1"/>
      <c r="BNI97" s="1"/>
      <c r="BNJ97" s="1"/>
      <c r="BXA97" s="1"/>
      <c r="BXB97" s="1"/>
      <c r="BXC97" s="1"/>
      <c r="BXD97" s="1"/>
      <c r="BXE97" s="1"/>
      <c r="BXF97" s="1"/>
      <c r="CGW97" s="1"/>
      <c r="CGX97" s="1"/>
      <c r="CGY97" s="1"/>
      <c r="CGZ97" s="1"/>
      <c r="CHA97" s="1"/>
      <c r="CHB97" s="1"/>
      <c r="CQS97" s="1"/>
      <c r="CQT97" s="1"/>
      <c r="CQU97" s="1"/>
      <c r="CQV97" s="1"/>
      <c r="CQW97" s="1"/>
      <c r="CQX97" s="1"/>
      <c r="DAO97" s="1"/>
      <c r="DAP97" s="1"/>
      <c r="DAQ97" s="1"/>
      <c r="DAR97" s="1"/>
      <c r="DAS97" s="1"/>
      <c r="DAT97" s="1"/>
      <c r="DKK97" s="1"/>
      <c r="DKL97" s="1"/>
      <c r="DKM97" s="1"/>
      <c r="DKN97" s="1"/>
      <c r="DKO97" s="1"/>
      <c r="DKP97" s="1"/>
      <c r="DUG97" s="1"/>
      <c r="DUH97" s="1"/>
      <c r="DUI97" s="1"/>
      <c r="DUJ97" s="1"/>
      <c r="DUK97" s="1"/>
      <c r="DUL97" s="1"/>
      <c r="EEC97" s="1"/>
      <c r="EED97" s="1"/>
      <c r="EEE97" s="1"/>
      <c r="EEF97" s="1"/>
      <c r="EEG97" s="1"/>
      <c r="EEH97" s="1"/>
      <c r="ENY97" s="1"/>
      <c r="ENZ97" s="1"/>
      <c r="EOA97" s="1"/>
      <c r="EOB97" s="1"/>
      <c r="EOC97" s="1"/>
      <c r="EOD97" s="1"/>
      <c r="EXU97" s="1"/>
      <c r="EXV97" s="1"/>
      <c r="EXW97" s="1"/>
      <c r="EXX97" s="1"/>
      <c r="EXY97" s="1"/>
      <c r="EXZ97" s="1"/>
      <c r="FHQ97" s="1"/>
      <c r="FHR97" s="1"/>
      <c r="FHS97" s="1"/>
      <c r="FHT97" s="1"/>
      <c r="FHU97" s="1"/>
      <c r="FHV97" s="1"/>
      <c r="FRM97" s="1"/>
      <c r="FRN97" s="1"/>
      <c r="FRO97" s="1"/>
      <c r="FRP97" s="1"/>
      <c r="FRQ97" s="1"/>
      <c r="FRR97" s="1"/>
      <c r="GBI97" s="1"/>
      <c r="GBJ97" s="1"/>
      <c r="GBK97" s="1"/>
      <c r="GBL97" s="1"/>
      <c r="GBM97" s="1"/>
      <c r="GBN97" s="1"/>
      <c r="GLE97" s="1"/>
      <c r="GLF97" s="1"/>
      <c r="GLG97" s="1"/>
      <c r="GLH97" s="1"/>
      <c r="GLI97" s="1"/>
      <c r="GLJ97" s="1"/>
      <c r="GVA97" s="1"/>
      <c r="GVB97" s="1"/>
      <c r="GVC97" s="1"/>
      <c r="GVD97" s="1"/>
      <c r="GVE97" s="1"/>
      <c r="GVF97" s="1"/>
      <c r="HEW97" s="1"/>
      <c r="HEX97" s="1"/>
      <c r="HEY97" s="1"/>
      <c r="HEZ97" s="1"/>
      <c r="HFA97" s="1"/>
      <c r="HFB97" s="1"/>
      <c r="HOS97" s="1"/>
      <c r="HOT97" s="1"/>
      <c r="HOU97" s="1"/>
      <c r="HOV97" s="1"/>
      <c r="HOW97" s="1"/>
      <c r="HOX97" s="1"/>
      <c r="HYO97" s="1"/>
      <c r="HYP97" s="1"/>
      <c r="HYQ97" s="1"/>
      <c r="HYR97" s="1"/>
      <c r="HYS97" s="1"/>
      <c r="HYT97" s="1"/>
      <c r="IIK97" s="1"/>
      <c r="IIL97" s="1"/>
      <c r="IIM97" s="1"/>
      <c r="IIN97" s="1"/>
      <c r="IIO97" s="1"/>
      <c r="IIP97" s="1"/>
      <c r="ISG97" s="1"/>
      <c r="ISH97" s="1"/>
      <c r="ISI97" s="1"/>
      <c r="ISJ97" s="1"/>
      <c r="ISK97" s="1"/>
      <c r="ISL97" s="1"/>
      <c r="JCC97" s="1"/>
      <c r="JCD97" s="1"/>
      <c r="JCE97" s="1"/>
      <c r="JCF97" s="1"/>
      <c r="JCG97" s="1"/>
      <c r="JCH97" s="1"/>
      <c r="JLY97" s="1"/>
      <c r="JLZ97" s="1"/>
      <c r="JMA97" s="1"/>
      <c r="JMB97" s="1"/>
      <c r="JMC97" s="1"/>
      <c r="JMD97" s="1"/>
      <c r="JVU97" s="1"/>
      <c r="JVV97" s="1"/>
      <c r="JVW97" s="1"/>
      <c r="JVX97" s="1"/>
      <c r="JVY97" s="1"/>
      <c r="JVZ97" s="1"/>
      <c r="KFQ97" s="1"/>
      <c r="KFR97" s="1"/>
      <c r="KFS97" s="1"/>
      <c r="KFT97" s="1"/>
      <c r="KFU97" s="1"/>
      <c r="KFV97" s="1"/>
      <c r="KPM97" s="1"/>
      <c r="KPN97" s="1"/>
      <c r="KPO97" s="1"/>
      <c r="KPP97" s="1"/>
      <c r="KPQ97" s="1"/>
      <c r="KPR97" s="1"/>
      <c r="KZI97" s="1"/>
      <c r="KZJ97" s="1"/>
      <c r="KZK97" s="1"/>
      <c r="KZL97" s="1"/>
      <c r="KZM97" s="1"/>
      <c r="KZN97" s="1"/>
      <c r="LJE97" s="1"/>
      <c r="LJF97" s="1"/>
      <c r="LJG97" s="1"/>
      <c r="LJH97" s="1"/>
      <c r="LJI97" s="1"/>
      <c r="LJJ97" s="1"/>
      <c r="LTA97" s="1"/>
      <c r="LTB97" s="1"/>
      <c r="LTC97" s="1"/>
      <c r="LTD97" s="1"/>
      <c r="LTE97" s="1"/>
      <c r="LTF97" s="1"/>
      <c r="MCW97" s="1"/>
      <c r="MCX97" s="1"/>
      <c r="MCY97" s="1"/>
      <c r="MCZ97" s="1"/>
      <c r="MDA97" s="1"/>
      <c r="MDB97" s="1"/>
      <c r="MMS97" s="1"/>
      <c r="MMT97" s="1"/>
      <c r="MMU97" s="1"/>
      <c r="MMV97" s="1"/>
      <c r="MMW97" s="1"/>
      <c r="MMX97" s="1"/>
      <c r="MWO97" s="1"/>
      <c r="MWP97" s="1"/>
      <c r="MWQ97" s="1"/>
      <c r="MWR97" s="1"/>
      <c r="MWS97" s="1"/>
      <c r="MWT97" s="1"/>
      <c r="NGK97" s="1"/>
      <c r="NGL97" s="1"/>
      <c r="NGM97" s="1"/>
      <c r="NGN97" s="1"/>
      <c r="NGO97" s="1"/>
      <c r="NGP97" s="1"/>
      <c r="NQG97" s="1"/>
      <c r="NQH97" s="1"/>
      <c r="NQI97" s="1"/>
      <c r="NQJ97" s="1"/>
      <c r="NQK97" s="1"/>
      <c r="NQL97" s="1"/>
      <c r="OAC97" s="1"/>
      <c r="OAD97" s="1"/>
      <c r="OAE97" s="1"/>
      <c r="OAF97" s="1"/>
      <c r="OAG97" s="1"/>
      <c r="OAH97" s="1"/>
      <c r="OJY97" s="1"/>
      <c r="OJZ97" s="1"/>
      <c r="OKA97" s="1"/>
      <c r="OKB97" s="1"/>
      <c r="OKC97" s="1"/>
      <c r="OKD97" s="1"/>
      <c r="OTU97" s="1"/>
      <c r="OTV97" s="1"/>
      <c r="OTW97" s="1"/>
      <c r="OTX97" s="1"/>
      <c r="OTY97" s="1"/>
      <c r="OTZ97" s="1"/>
      <c r="PDQ97" s="1"/>
      <c r="PDR97" s="1"/>
      <c r="PDS97" s="1"/>
      <c r="PDT97" s="1"/>
      <c r="PDU97" s="1"/>
      <c r="PDV97" s="1"/>
      <c r="PNM97" s="1"/>
      <c r="PNN97" s="1"/>
      <c r="PNO97" s="1"/>
      <c r="PNP97" s="1"/>
      <c r="PNQ97" s="1"/>
      <c r="PNR97" s="1"/>
      <c r="PXI97" s="1"/>
      <c r="PXJ97" s="1"/>
      <c r="PXK97" s="1"/>
      <c r="PXL97" s="1"/>
      <c r="PXM97" s="1"/>
      <c r="PXN97" s="1"/>
      <c r="QHE97" s="1"/>
      <c r="QHF97" s="1"/>
      <c r="QHG97" s="1"/>
      <c r="QHH97" s="1"/>
      <c r="QHI97" s="1"/>
      <c r="QHJ97" s="1"/>
      <c r="QRA97" s="1"/>
      <c r="QRB97" s="1"/>
      <c r="QRC97" s="1"/>
      <c r="QRD97" s="1"/>
      <c r="QRE97" s="1"/>
      <c r="QRF97" s="1"/>
      <c r="RAW97" s="1"/>
      <c r="RAX97" s="1"/>
      <c r="RAY97" s="1"/>
      <c r="RAZ97" s="1"/>
      <c r="RBA97" s="1"/>
      <c r="RBB97" s="1"/>
      <c r="RKS97" s="1"/>
      <c r="RKT97" s="1"/>
      <c r="RKU97" s="1"/>
      <c r="RKV97" s="1"/>
      <c r="RKW97" s="1"/>
      <c r="RKX97" s="1"/>
      <c r="RUO97" s="1"/>
      <c r="RUP97" s="1"/>
      <c r="RUQ97" s="1"/>
      <c r="RUR97" s="1"/>
      <c r="RUS97" s="1"/>
      <c r="RUT97" s="1"/>
      <c r="SEK97" s="1"/>
      <c r="SEL97" s="1"/>
      <c r="SEM97" s="1"/>
      <c r="SEN97" s="1"/>
      <c r="SEO97" s="1"/>
      <c r="SEP97" s="1"/>
      <c r="SOG97" s="1"/>
      <c r="SOH97" s="1"/>
      <c r="SOI97" s="1"/>
      <c r="SOJ97" s="1"/>
      <c r="SOK97" s="1"/>
      <c r="SOL97" s="1"/>
      <c r="SYC97" s="1"/>
      <c r="SYD97" s="1"/>
      <c r="SYE97" s="1"/>
      <c r="SYF97" s="1"/>
      <c r="SYG97" s="1"/>
      <c r="SYH97" s="1"/>
      <c r="THY97" s="1"/>
      <c r="THZ97" s="1"/>
      <c r="TIA97" s="1"/>
      <c r="TIB97" s="1"/>
      <c r="TIC97" s="1"/>
      <c r="TID97" s="1"/>
      <c r="TRU97" s="1"/>
      <c r="TRV97" s="1"/>
      <c r="TRW97" s="1"/>
      <c r="TRX97" s="1"/>
      <c r="TRY97" s="1"/>
      <c r="TRZ97" s="1"/>
      <c r="UBQ97" s="1"/>
      <c r="UBR97" s="1"/>
      <c r="UBS97" s="1"/>
      <c r="UBT97" s="1"/>
      <c r="UBU97" s="1"/>
      <c r="UBV97" s="1"/>
      <c r="ULM97" s="1"/>
      <c r="ULN97" s="1"/>
      <c r="ULO97" s="1"/>
      <c r="ULP97" s="1"/>
      <c r="ULQ97" s="1"/>
      <c r="ULR97" s="1"/>
      <c r="UVI97" s="1"/>
      <c r="UVJ97" s="1"/>
      <c r="UVK97" s="1"/>
      <c r="UVL97" s="1"/>
      <c r="UVM97" s="1"/>
      <c r="UVN97" s="1"/>
      <c r="VFE97" s="1"/>
      <c r="VFF97" s="1"/>
      <c r="VFG97" s="1"/>
      <c r="VFH97" s="1"/>
      <c r="VFI97" s="1"/>
      <c r="VFJ97" s="1"/>
      <c r="VPA97" s="1"/>
      <c r="VPB97" s="1"/>
      <c r="VPC97" s="1"/>
      <c r="VPD97" s="1"/>
      <c r="VPE97" s="1"/>
      <c r="VPF97" s="1"/>
      <c r="VYW97" s="1"/>
      <c r="VYX97" s="1"/>
      <c r="VYY97" s="1"/>
      <c r="VYZ97" s="1"/>
      <c r="VZA97" s="1"/>
      <c r="VZB97" s="1"/>
      <c r="WIS97" s="1"/>
      <c r="WIT97" s="1"/>
      <c r="WIU97" s="1"/>
      <c r="WIV97" s="1"/>
      <c r="WIW97" s="1"/>
      <c r="WIX97" s="1"/>
      <c r="WSO97" s="1"/>
      <c r="WSP97" s="1"/>
      <c r="WSQ97" s="1"/>
      <c r="WSR97" s="1"/>
      <c r="WSS97" s="1"/>
      <c r="WST97" s="1"/>
    </row>
    <row r="98" spans="1:16307" ht="15.75" x14ac:dyDescent="0.25">
      <c r="A98" s="82" t="s">
        <v>474</v>
      </c>
      <c r="B98" s="83" t="s">
        <v>488</v>
      </c>
      <c r="C98" s="83"/>
      <c r="D98" s="77">
        <f>SUM(D99:D100)</f>
        <v>2564544.9699999997</v>
      </c>
      <c r="E98" s="77">
        <f>SUM(E99:E100)</f>
        <v>2374380.9</v>
      </c>
      <c r="F98" s="77">
        <f>SUM(F99:F100)</f>
        <v>8834970.3900000006</v>
      </c>
    </row>
    <row r="99" spans="1:16307" ht="60.75" x14ac:dyDescent="0.25">
      <c r="A99" s="72" t="s">
        <v>169</v>
      </c>
      <c r="B99" s="84" t="s">
        <v>488</v>
      </c>
      <c r="C99" s="84" t="s">
        <v>178</v>
      </c>
      <c r="D99" s="310">
        <f>'Приложение 4'!F92</f>
        <v>1171894.42</v>
      </c>
      <c r="E99" s="310">
        <f>'Приложение 4'!G92</f>
        <v>1167894.42</v>
      </c>
      <c r="F99" s="310">
        <f>'Приложение 4'!H92</f>
        <v>6922204.6600000001</v>
      </c>
    </row>
    <row r="100" spans="1:16307" ht="30.75" x14ac:dyDescent="0.25">
      <c r="A100" s="70" t="s">
        <v>170</v>
      </c>
      <c r="B100" s="84" t="s">
        <v>488</v>
      </c>
      <c r="C100" s="85">
        <v>200</v>
      </c>
      <c r="D100" s="310">
        <f>'Приложение 4'!F93</f>
        <v>1392650.55</v>
      </c>
      <c r="E100" s="310">
        <f>'Приложение 4'!G93</f>
        <v>1206486.48</v>
      </c>
      <c r="F100" s="310">
        <f>'Приложение 4'!H93</f>
        <v>1912765.73</v>
      </c>
    </row>
    <row r="101" spans="1:16307" ht="15.75" x14ac:dyDescent="0.25">
      <c r="A101" s="67" t="s">
        <v>176</v>
      </c>
      <c r="B101" s="68" t="s">
        <v>484</v>
      </c>
      <c r="C101" s="69"/>
      <c r="D101" s="74">
        <f t="shared" ref="D101:F102" si="1">D102</f>
        <v>12550000</v>
      </c>
      <c r="E101" s="74">
        <f t="shared" si="1"/>
        <v>4633000</v>
      </c>
      <c r="F101" s="74">
        <f t="shared" si="1"/>
        <v>4633000</v>
      </c>
    </row>
    <row r="102" spans="1:16307" s="87" customFormat="1" ht="15.75" x14ac:dyDescent="0.25">
      <c r="A102" s="79" t="s">
        <v>478</v>
      </c>
      <c r="B102" s="76" t="s">
        <v>485</v>
      </c>
      <c r="C102" s="62"/>
      <c r="D102" s="77">
        <f t="shared" si="1"/>
        <v>12550000</v>
      </c>
      <c r="E102" s="77">
        <f t="shared" si="1"/>
        <v>4633000</v>
      </c>
      <c r="F102" s="77">
        <f t="shared" si="1"/>
        <v>4633000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64"/>
      <c r="NF102" s="64"/>
      <c r="NG102" s="64"/>
      <c r="NH102" s="64"/>
      <c r="NI102" s="64"/>
      <c r="NJ102" s="64"/>
      <c r="NK102" s="64"/>
      <c r="NL102" s="64"/>
      <c r="NM102" s="64"/>
      <c r="NN102" s="64"/>
      <c r="NO102" s="64"/>
      <c r="NP102" s="64"/>
      <c r="NQ102" s="64"/>
      <c r="NR102" s="64"/>
      <c r="NS102" s="64"/>
      <c r="NT102" s="64"/>
      <c r="NU102" s="64"/>
      <c r="NV102" s="64"/>
      <c r="NW102" s="64"/>
      <c r="NX102" s="64"/>
      <c r="NY102" s="64"/>
      <c r="NZ102" s="64"/>
      <c r="OA102" s="64"/>
      <c r="OB102" s="64"/>
      <c r="OC102" s="64"/>
      <c r="OD102" s="64"/>
      <c r="OE102" s="64"/>
      <c r="OF102" s="64"/>
      <c r="OG102" s="64"/>
      <c r="OH102" s="64"/>
      <c r="OI102" s="64"/>
      <c r="OJ102" s="64"/>
      <c r="OK102" s="64"/>
      <c r="OL102" s="64"/>
      <c r="OM102" s="64"/>
      <c r="ON102" s="64"/>
      <c r="OO102" s="64"/>
      <c r="OP102" s="64"/>
      <c r="OQ102" s="64"/>
      <c r="OR102" s="64"/>
      <c r="OS102" s="64"/>
      <c r="OT102" s="64"/>
      <c r="OU102" s="64"/>
      <c r="OV102" s="64"/>
      <c r="OW102" s="64"/>
      <c r="OX102" s="64"/>
      <c r="OY102" s="64"/>
      <c r="OZ102" s="64"/>
      <c r="PA102" s="64"/>
      <c r="PB102" s="64"/>
      <c r="PC102" s="64"/>
      <c r="PD102" s="64"/>
      <c r="PE102" s="64"/>
      <c r="PF102" s="64"/>
      <c r="PG102" s="64"/>
      <c r="PH102" s="64"/>
      <c r="PI102" s="64"/>
      <c r="PJ102" s="64"/>
      <c r="PK102" s="64"/>
      <c r="PL102" s="64"/>
      <c r="PM102" s="64"/>
      <c r="PN102" s="64"/>
      <c r="PO102" s="64"/>
      <c r="PP102" s="64"/>
      <c r="PQ102" s="64"/>
      <c r="PR102" s="64"/>
      <c r="PS102" s="64"/>
      <c r="PT102" s="64"/>
      <c r="PU102" s="64"/>
      <c r="PV102" s="64"/>
      <c r="PW102" s="64"/>
      <c r="PX102" s="64"/>
      <c r="QE102" s="64"/>
      <c r="QF102" s="64"/>
      <c r="QG102" s="64"/>
      <c r="QH102" s="64"/>
      <c r="QI102" s="64"/>
      <c r="QJ102" s="64"/>
      <c r="QK102" s="64"/>
      <c r="QL102" s="64"/>
      <c r="QM102" s="64"/>
      <c r="QN102" s="64"/>
      <c r="QO102" s="64"/>
      <c r="QP102" s="64"/>
      <c r="QQ102" s="64"/>
      <c r="QR102" s="64"/>
      <c r="QS102" s="64"/>
      <c r="QT102" s="64"/>
      <c r="QU102" s="64"/>
      <c r="QV102" s="64"/>
      <c r="QW102" s="64"/>
      <c r="QX102" s="64"/>
      <c r="QY102" s="64"/>
      <c r="QZ102" s="64"/>
      <c r="RA102" s="64"/>
      <c r="RB102" s="64"/>
      <c r="RC102" s="64"/>
      <c r="RD102" s="64"/>
      <c r="RE102" s="64"/>
      <c r="RF102" s="64"/>
      <c r="RG102" s="64"/>
      <c r="RH102" s="64"/>
      <c r="RI102" s="64"/>
      <c r="RJ102" s="64"/>
      <c r="RK102" s="64"/>
      <c r="RL102" s="64"/>
      <c r="RM102" s="64"/>
      <c r="RN102" s="64"/>
      <c r="RO102" s="64"/>
      <c r="RP102" s="64"/>
      <c r="RQ102" s="64"/>
      <c r="RR102" s="64"/>
      <c r="RS102" s="64"/>
      <c r="RT102" s="64"/>
      <c r="RU102" s="64"/>
      <c r="RV102" s="64"/>
      <c r="RW102" s="64"/>
      <c r="RX102" s="64"/>
      <c r="RY102" s="64"/>
      <c r="RZ102" s="64"/>
      <c r="SA102" s="64"/>
      <c r="SB102" s="64"/>
      <c r="SC102" s="64"/>
      <c r="SD102" s="64"/>
      <c r="SE102" s="64"/>
      <c r="SF102" s="64"/>
      <c r="SG102" s="64"/>
      <c r="SH102" s="64"/>
      <c r="SI102" s="64"/>
      <c r="SJ102" s="64"/>
      <c r="SK102" s="64"/>
      <c r="SL102" s="64"/>
      <c r="SM102" s="64"/>
      <c r="SN102" s="64"/>
      <c r="SO102" s="64"/>
      <c r="SP102" s="64"/>
      <c r="SQ102" s="64"/>
      <c r="SR102" s="64"/>
      <c r="SS102" s="64"/>
      <c r="ST102" s="64"/>
      <c r="SU102" s="64"/>
      <c r="SV102" s="64"/>
      <c r="SW102" s="64"/>
      <c r="SX102" s="64"/>
      <c r="SY102" s="64"/>
      <c r="SZ102" s="64"/>
      <c r="TA102" s="64"/>
      <c r="TB102" s="64"/>
      <c r="TC102" s="64"/>
      <c r="TD102" s="64"/>
      <c r="TE102" s="64"/>
      <c r="TF102" s="64"/>
      <c r="TG102" s="64"/>
      <c r="TH102" s="64"/>
      <c r="TI102" s="64"/>
      <c r="TJ102" s="64"/>
      <c r="TK102" s="64"/>
      <c r="TL102" s="64"/>
      <c r="TM102" s="64"/>
      <c r="TN102" s="64"/>
      <c r="TO102" s="64"/>
      <c r="TP102" s="64"/>
      <c r="TQ102" s="64"/>
      <c r="TR102" s="64"/>
      <c r="TS102" s="64"/>
      <c r="TT102" s="64"/>
      <c r="TU102" s="64"/>
      <c r="TV102" s="64"/>
      <c r="TW102" s="64"/>
      <c r="TX102" s="64"/>
      <c r="TY102" s="64"/>
      <c r="TZ102" s="64"/>
      <c r="UA102" s="64"/>
      <c r="UB102" s="64"/>
      <c r="UC102" s="64"/>
      <c r="UD102" s="64"/>
      <c r="UE102" s="64"/>
      <c r="UF102" s="64"/>
      <c r="UG102" s="64"/>
      <c r="UH102" s="64"/>
      <c r="UI102" s="64"/>
      <c r="UJ102" s="64"/>
      <c r="UK102" s="64"/>
      <c r="UL102" s="64"/>
      <c r="UM102" s="64"/>
      <c r="UN102" s="64"/>
      <c r="UO102" s="64"/>
      <c r="UP102" s="64"/>
      <c r="UQ102" s="64"/>
      <c r="UR102" s="64"/>
      <c r="US102" s="64"/>
      <c r="UT102" s="64"/>
      <c r="UU102" s="64"/>
      <c r="UV102" s="64"/>
      <c r="UW102" s="64"/>
      <c r="UX102" s="64"/>
      <c r="UY102" s="64"/>
      <c r="UZ102" s="64"/>
      <c r="VA102" s="64"/>
      <c r="VB102" s="64"/>
      <c r="VC102" s="64"/>
      <c r="VD102" s="64"/>
      <c r="VE102" s="64"/>
      <c r="VF102" s="64"/>
      <c r="VG102" s="64"/>
      <c r="VH102" s="64"/>
      <c r="VI102" s="64"/>
      <c r="VJ102" s="64"/>
      <c r="VK102" s="64"/>
      <c r="VL102" s="64"/>
      <c r="VM102" s="64"/>
      <c r="VN102" s="64"/>
      <c r="VO102" s="64"/>
      <c r="VP102" s="64"/>
      <c r="VQ102" s="64"/>
      <c r="VR102" s="64"/>
      <c r="VS102" s="64"/>
      <c r="VT102" s="64"/>
      <c r="VU102" s="64"/>
      <c r="VV102" s="64"/>
      <c r="VW102" s="64"/>
      <c r="VX102" s="64"/>
      <c r="VY102" s="64"/>
      <c r="VZ102" s="64"/>
      <c r="WA102" s="64"/>
      <c r="WB102" s="64"/>
      <c r="WC102" s="64"/>
      <c r="WD102" s="64"/>
      <c r="WE102" s="64"/>
      <c r="WF102" s="64"/>
      <c r="WG102" s="64"/>
      <c r="WH102" s="64"/>
      <c r="WI102" s="64"/>
      <c r="WJ102" s="64"/>
      <c r="WK102" s="64"/>
      <c r="WL102" s="64"/>
      <c r="WM102" s="64"/>
      <c r="WN102" s="64"/>
      <c r="WO102" s="64"/>
      <c r="WP102" s="64"/>
      <c r="WQ102" s="64"/>
      <c r="WR102" s="64"/>
      <c r="WS102" s="64"/>
      <c r="WT102" s="64"/>
      <c r="WU102" s="64"/>
      <c r="WV102" s="64"/>
      <c r="WW102" s="64"/>
      <c r="WX102" s="64"/>
      <c r="WY102" s="64"/>
      <c r="WZ102" s="64"/>
      <c r="XA102" s="64"/>
      <c r="XB102" s="64"/>
      <c r="XC102" s="64"/>
      <c r="XD102" s="64"/>
      <c r="XE102" s="64"/>
      <c r="XF102" s="64"/>
      <c r="XG102" s="64"/>
      <c r="XH102" s="64"/>
      <c r="XI102" s="64"/>
      <c r="XJ102" s="64"/>
      <c r="XK102" s="64"/>
      <c r="XL102" s="64"/>
      <c r="XM102" s="64"/>
      <c r="XN102" s="64"/>
      <c r="XO102" s="64"/>
      <c r="XP102" s="64"/>
      <c r="XQ102" s="64"/>
      <c r="XR102" s="64"/>
      <c r="XS102" s="64"/>
      <c r="XT102" s="64"/>
      <c r="XU102" s="64"/>
      <c r="XV102" s="64"/>
      <c r="XW102" s="64"/>
      <c r="XX102" s="64"/>
      <c r="XY102" s="64"/>
      <c r="XZ102" s="64"/>
      <c r="YA102" s="64"/>
      <c r="YB102" s="64"/>
      <c r="YC102" s="64"/>
      <c r="YD102" s="64"/>
      <c r="YE102" s="64"/>
      <c r="YF102" s="64"/>
      <c r="YG102" s="64"/>
      <c r="YH102" s="64"/>
      <c r="YI102" s="64"/>
      <c r="YJ102" s="64"/>
      <c r="YK102" s="64"/>
      <c r="YL102" s="64"/>
      <c r="YM102" s="64"/>
      <c r="YN102" s="64"/>
      <c r="YO102" s="64"/>
      <c r="YP102" s="64"/>
      <c r="YQ102" s="64"/>
      <c r="YR102" s="64"/>
      <c r="YS102" s="64"/>
      <c r="YT102" s="64"/>
      <c r="YU102" s="64"/>
      <c r="YV102" s="64"/>
      <c r="YW102" s="64"/>
      <c r="YX102" s="64"/>
      <c r="YY102" s="64"/>
      <c r="YZ102" s="64"/>
      <c r="ZA102" s="64"/>
      <c r="ZB102" s="64"/>
      <c r="ZC102" s="64"/>
      <c r="ZD102" s="64"/>
      <c r="ZE102" s="64"/>
      <c r="ZF102" s="64"/>
      <c r="ZG102" s="64"/>
      <c r="ZH102" s="64"/>
      <c r="ZI102" s="64"/>
      <c r="ZJ102" s="64"/>
      <c r="ZK102" s="64"/>
      <c r="ZL102" s="64"/>
      <c r="ZM102" s="64"/>
      <c r="ZN102" s="64"/>
      <c r="ZO102" s="64"/>
      <c r="ZP102" s="64"/>
      <c r="ZQ102" s="64"/>
      <c r="ZR102" s="64"/>
      <c r="ZS102" s="64"/>
      <c r="ZT102" s="64"/>
      <c r="AAA102" s="64"/>
      <c r="AAB102" s="64"/>
      <c r="AAC102" s="64"/>
      <c r="AAD102" s="64"/>
      <c r="AAE102" s="64"/>
      <c r="AAF102" s="64"/>
      <c r="AAG102" s="64"/>
      <c r="AAH102" s="64"/>
      <c r="AAI102" s="64"/>
      <c r="AAJ102" s="64"/>
      <c r="AAK102" s="64"/>
      <c r="AAL102" s="64"/>
      <c r="AAM102" s="64"/>
      <c r="AAN102" s="64"/>
      <c r="AAO102" s="64"/>
      <c r="AAP102" s="64"/>
      <c r="AAQ102" s="64"/>
      <c r="AAR102" s="64"/>
      <c r="AAS102" s="64"/>
      <c r="AAT102" s="64"/>
      <c r="AAU102" s="64"/>
      <c r="AAV102" s="64"/>
      <c r="AAW102" s="64"/>
      <c r="AAX102" s="64"/>
      <c r="AAY102" s="64"/>
      <c r="AAZ102" s="64"/>
      <c r="ABA102" s="64"/>
      <c r="ABB102" s="64"/>
      <c r="ABC102" s="64"/>
      <c r="ABD102" s="64"/>
      <c r="ABE102" s="64"/>
      <c r="ABF102" s="64"/>
      <c r="ABG102" s="64"/>
      <c r="ABH102" s="64"/>
      <c r="ABI102" s="64"/>
      <c r="ABJ102" s="64"/>
      <c r="ABK102" s="64"/>
      <c r="ABL102" s="64"/>
      <c r="ABM102" s="64"/>
      <c r="ABN102" s="64"/>
      <c r="ABO102" s="64"/>
      <c r="ABP102" s="64"/>
      <c r="ABQ102" s="64"/>
      <c r="ABR102" s="64"/>
      <c r="ABS102" s="64"/>
      <c r="ABT102" s="64"/>
      <c r="ABU102" s="64"/>
      <c r="ABV102" s="64"/>
      <c r="ABW102" s="64"/>
      <c r="ABX102" s="64"/>
      <c r="ABY102" s="64"/>
      <c r="ABZ102" s="64"/>
      <c r="ACA102" s="64"/>
      <c r="ACB102" s="64"/>
      <c r="ACC102" s="64"/>
      <c r="ACD102" s="64"/>
      <c r="ACE102" s="64"/>
      <c r="ACF102" s="64"/>
      <c r="ACG102" s="64"/>
      <c r="ACH102" s="64"/>
      <c r="ACI102" s="64"/>
      <c r="ACJ102" s="64"/>
      <c r="ACK102" s="64"/>
      <c r="ACL102" s="64"/>
      <c r="ACM102" s="64"/>
      <c r="ACN102" s="64"/>
      <c r="ACO102" s="64"/>
      <c r="ACP102" s="64"/>
      <c r="ACQ102" s="64"/>
      <c r="ACR102" s="64"/>
      <c r="ACS102" s="64"/>
      <c r="ACT102" s="64"/>
      <c r="ACU102" s="64"/>
      <c r="ACV102" s="64"/>
      <c r="ACW102" s="64"/>
      <c r="ACX102" s="64"/>
      <c r="ACY102" s="64"/>
      <c r="ACZ102" s="64"/>
      <c r="ADA102" s="64"/>
      <c r="ADB102" s="64"/>
      <c r="ADC102" s="64"/>
      <c r="ADD102" s="64"/>
      <c r="ADE102" s="64"/>
      <c r="ADF102" s="64"/>
      <c r="ADG102" s="64"/>
      <c r="ADH102" s="64"/>
      <c r="ADI102" s="64"/>
      <c r="ADJ102" s="64"/>
      <c r="ADK102" s="64"/>
      <c r="ADL102" s="64"/>
      <c r="ADM102" s="64"/>
      <c r="ADN102" s="64"/>
      <c r="ADO102" s="64"/>
      <c r="ADP102" s="64"/>
      <c r="ADQ102" s="64"/>
      <c r="ADR102" s="64"/>
      <c r="ADS102" s="64"/>
      <c r="ADT102" s="64"/>
      <c r="ADU102" s="64"/>
      <c r="ADV102" s="64"/>
      <c r="ADW102" s="64"/>
      <c r="ADX102" s="64"/>
      <c r="ADY102" s="64"/>
      <c r="ADZ102" s="64"/>
      <c r="AEA102" s="64"/>
      <c r="AEB102" s="64"/>
      <c r="AEC102" s="64"/>
      <c r="AED102" s="64"/>
      <c r="AEE102" s="64"/>
      <c r="AEF102" s="64"/>
      <c r="AEG102" s="64"/>
      <c r="AEH102" s="64"/>
      <c r="AEI102" s="64"/>
      <c r="AEJ102" s="64"/>
      <c r="AEK102" s="64"/>
      <c r="AEL102" s="64"/>
      <c r="AEM102" s="64"/>
      <c r="AEN102" s="64"/>
      <c r="AEO102" s="64"/>
      <c r="AEP102" s="64"/>
      <c r="AEQ102" s="64"/>
      <c r="AER102" s="64"/>
      <c r="AES102" s="64"/>
      <c r="AET102" s="64"/>
      <c r="AEU102" s="64"/>
      <c r="AEV102" s="64"/>
      <c r="AEW102" s="64"/>
      <c r="AEX102" s="64"/>
      <c r="AEY102" s="64"/>
      <c r="AEZ102" s="64"/>
      <c r="AFA102" s="64"/>
      <c r="AFB102" s="64"/>
      <c r="AFC102" s="64"/>
      <c r="AFD102" s="64"/>
      <c r="AFE102" s="64"/>
      <c r="AFF102" s="64"/>
      <c r="AFG102" s="64"/>
      <c r="AFH102" s="64"/>
      <c r="AFI102" s="64"/>
      <c r="AFJ102" s="64"/>
      <c r="AFK102" s="64"/>
      <c r="AFL102" s="64"/>
      <c r="AFM102" s="64"/>
      <c r="AFN102" s="64"/>
      <c r="AFO102" s="64"/>
      <c r="AFP102" s="64"/>
      <c r="AFQ102" s="64"/>
      <c r="AFR102" s="64"/>
      <c r="AFS102" s="64"/>
      <c r="AFT102" s="64"/>
      <c r="AFU102" s="64"/>
      <c r="AFV102" s="64"/>
      <c r="AFW102" s="64"/>
      <c r="AFX102" s="64"/>
      <c r="AFY102" s="64"/>
      <c r="AFZ102" s="64"/>
      <c r="AGA102" s="64"/>
      <c r="AGB102" s="64"/>
      <c r="AGC102" s="64"/>
      <c r="AGD102" s="64"/>
      <c r="AGE102" s="64"/>
      <c r="AGF102" s="64"/>
      <c r="AGG102" s="64"/>
      <c r="AGH102" s="64"/>
      <c r="AGI102" s="64"/>
      <c r="AGJ102" s="64"/>
      <c r="AGK102" s="64"/>
      <c r="AGL102" s="64"/>
      <c r="AGM102" s="64"/>
      <c r="AGN102" s="64"/>
      <c r="AGO102" s="64"/>
      <c r="AGP102" s="64"/>
      <c r="AGQ102" s="64"/>
      <c r="AGR102" s="64"/>
      <c r="AGS102" s="64"/>
      <c r="AGT102" s="64"/>
      <c r="AGU102" s="64"/>
      <c r="AGV102" s="64"/>
      <c r="AGW102" s="64"/>
      <c r="AGX102" s="64"/>
      <c r="AGY102" s="64"/>
      <c r="AGZ102" s="64"/>
      <c r="AHA102" s="64"/>
      <c r="AHB102" s="64"/>
      <c r="AHC102" s="64"/>
      <c r="AHD102" s="64"/>
      <c r="AHE102" s="64"/>
      <c r="AHF102" s="64"/>
      <c r="AHG102" s="64"/>
      <c r="AHH102" s="64"/>
      <c r="AHI102" s="64"/>
      <c r="AHJ102" s="64"/>
      <c r="AHK102" s="64"/>
      <c r="AHL102" s="64"/>
      <c r="AHM102" s="64"/>
      <c r="AHN102" s="64"/>
      <c r="AHO102" s="64"/>
      <c r="AHP102" s="64"/>
      <c r="AHQ102" s="64"/>
      <c r="AHR102" s="64"/>
      <c r="AHS102" s="64"/>
      <c r="AHT102" s="64"/>
      <c r="AHU102" s="64"/>
      <c r="AHV102" s="64"/>
      <c r="AHW102" s="64"/>
      <c r="AHX102" s="64"/>
      <c r="AHY102" s="64"/>
      <c r="AHZ102" s="64"/>
      <c r="AIA102" s="64"/>
      <c r="AIB102" s="64"/>
      <c r="AIC102" s="64"/>
      <c r="AID102" s="64"/>
      <c r="AIE102" s="64"/>
      <c r="AIF102" s="64"/>
      <c r="AIG102" s="64"/>
      <c r="AIH102" s="64"/>
      <c r="AII102" s="64"/>
      <c r="AIJ102" s="64"/>
      <c r="AIK102" s="64"/>
      <c r="AIL102" s="64"/>
      <c r="AIM102" s="64"/>
      <c r="AIN102" s="64"/>
      <c r="AIO102" s="64"/>
      <c r="AIP102" s="64"/>
      <c r="AIQ102" s="64"/>
      <c r="AIR102" s="64"/>
      <c r="AIS102" s="64"/>
      <c r="AIT102" s="64"/>
      <c r="AIU102" s="64"/>
      <c r="AIV102" s="64"/>
      <c r="AIW102" s="64"/>
      <c r="AIX102" s="64"/>
      <c r="AIY102" s="64"/>
      <c r="AIZ102" s="64"/>
      <c r="AJA102" s="64"/>
      <c r="AJB102" s="64"/>
      <c r="AJC102" s="64"/>
      <c r="AJD102" s="64"/>
      <c r="AJE102" s="64"/>
      <c r="AJF102" s="64"/>
      <c r="AJG102" s="64"/>
      <c r="AJH102" s="64"/>
      <c r="AJI102" s="64"/>
      <c r="AJJ102" s="64"/>
      <c r="AJK102" s="64"/>
      <c r="AJL102" s="64"/>
      <c r="AJM102" s="64"/>
      <c r="AJN102" s="64"/>
      <c r="AJO102" s="64"/>
      <c r="AJP102" s="64"/>
      <c r="AJW102" s="64"/>
      <c r="AJX102" s="64"/>
      <c r="AJY102" s="64"/>
      <c r="AJZ102" s="64"/>
      <c r="AKA102" s="64"/>
      <c r="AKB102" s="64"/>
      <c r="AKC102" s="64"/>
      <c r="AKD102" s="64"/>
      <c r="AKE102" s="64"/>
      <c r="AKF102" s="64"/>
      <c r="AKG102" s="64"/>
      <c r="AKH102" s="64"/>
      <c r="AKI102" s="64"/>
      <c r="AKJ102" s="64"/>
      <c r="AKK102" s="64"/>
      <c r="AKL102" s="64"/>
      <c r="AKM102" s="64"/>
      <c r="AKN102" s="64"/>
      <c r="AKO102" s="64"/>
      <c r="AKP102" s="64"/>
      <c r="AKQ102" s="64"/>
      <c r="AKR102" s="64"/>
      <c r="AKS102" s="64"/>
      <c r="AKT102" s="64"/>
      <c r="AKU102" s="64"/>
      <c r="AKV102" s="64"/>
      <c r="AKW102" s="64"/>
      <c r="AKX102" s="64"/>
      <c r="AKY102" s="64"/>
      <c r="AKZ102" s="64"/>
      <c r="ALA102" s="64"/>
      <c r="ALB102" s="64"/>
      <c r="ALC102" s="64"/>
      <c r="ALD102" s="64"/>
      <c r="ALE102" s="64"/>
      <c r="ALF102" s="64"/>
      <c r="ALG102" s="64"/>
      <c r="ALH102" s="64"/>
      <c r="ALI102" s="64"/>
      <c r="ALJ102" s="64"/>
      <c r="ALK102" s="64"/>
      <c r="ALL102" s="64"/>
      <c r="ALM102" s="64"/>
      <c r="ALN102" s="64"/>
      <c r="ALO102" s="64"/>
      <c r="ALP102" s="64"/>
      <c r="ALQ102" s="64"/>
      <c r="ALR102" s="64"/>
      <c r="ALS102" s="64"/>
      <c r="ALT102" s="64"/>
      <c r="ALU102" s="64"/>
      <c r="ALV102" s="64"/>
      <c r="ALW102" s="64"/>
      <c r="ALX102" s="64"/>
      <c r="ALY102" s="64"/>
      <c r="ALZ102" s="64"/>
      <c r="AMA102" s="64"/>
      <c r="AMB102" s="64"/>
      <c r="AMC102" s="64"/>
      <c r="AMD102" s="64"/>
      <c r="AME102" s="64"/>
      <c r="AMF102" s="64"/>
      <c r="AMG102" s="64"/>
      <c r="AMH102" s="64"/>
      <c r="AMI102" s="64"/>
      <c r="AMJ102" s="64"/>
      <c r="AMK102" s="64"/>
      <c r="AML102" s="64"/>
      <c r="AMM102" s="64"/>
      <c r="AMN102" s="64"/>
      <c r="AMO102" s="64"/>
      <c r="AMP102" s="64"/>
      <c r="AMQ102" s="64"/>
      <c r="AMR102" s="64"/>
      <c r="AMS102" s="64"/>
      <c r="AMT102" s="64"/>
      <c r="AMU102" s="64"/>
      <c r="AMV102" s="64"/>
      <c r="AMW102" s="64"/>
      <c r="AMX102" s="64"/>
      <c r="AMY102" s="64"/>
      <c r="AMZ102" s="64"/>
      <c r="ANA102" s="64"/>
      <c r="ANB102" s="64"/>
      <c r="ANC102" s="64"/>
      <c r="AND102" s="64"/>
      <c r="ANE102" s="64"/>
      <c r="ANF102" s="64"/>
      <c r="ANG102" s="64"/>
      <c r="ANH102" s="64"/>
      <c r="ANI102" s="64"/>
      <c r="ANJ102" s="64"/>
      <c r="ANK102" s="64"/>
      <c r="ANL102" s="64"/>
      <c r="ANM102" s="64"/>
      <c r="ANN102" s="64"/>
      <c r="ANO102" s="64"/>
      <c r="ANP102" s="64"/>
      <c r="ANQ102" s="64"/>
      <c r="ANR102" s="64"/>
      <c r="ANS102" s="64"/>
      <c r="ANT102" s="64"/>
      <c r="ANU102" s="64"/>
      <c r="ANV102" s="64"/>
      <c r="ANW102" s="64"/>
      <c r="ANX102" s="64"/>
      <c r="ANY102" s="64"/>
      <c r="ANZ102" s="64"/>
      <c r="AOA102" s="64"/>
      <c r="AOB102" s="64"/>
      <c r="AOC102" s="64"/>
      <c r="AOD102" s="64"/>
      <c r="AOE102" s="64"/>
      <c r="AOF102" s="64"/>
      <c r="AOG102" s="64"/>
      <c r="AOH102" s="64"/>
      <c r="AOI102" s="64"/>
      <c r="AOJ102" s="64"/>
      <c r="AOK102" s="64"/>
      <c r="AOL102" s="64"/>
      <c r="AOM102" s="64"/>
      <c r="AON102" s="64"/>
      <c r="AOO102" s="64"/>
      <c r="AOP102" s="64"/>
      <c r="AOQ102" s="64"/>
      <c r="AOR102" s="64"/>
      <c r="AOS102" s="64"/>
      <c r="AOT102" s="64"/>
      <c r="AOU102" s="64"/>
      <c r="AOV102" s="64"/>
      <c r="AOW102" s="64"/>
      <c r="AOX102" s="64"/>
      <c r="AOY102" s="64"/>
      <c r="AOZ102" s="64"/>
      <c r="APA102" s="64"/>
      <c r="APB102" s="64"/>
      <c r="APC102" s="64"/>
      <c r="APD102" s="64"/>
      <c r="APE102" s="64"/>
      <c r="APF102" s="64"/>
      <c r="APG102" s="64"/>
      <c r="APH102" s="64"/>
      <c r="API102" s="64"/>
      <c r="APJ102" s="64"/>
      <c r="APK102" s="64"/>
      <c r="APL102" s="64"/>
      <c r="APM102" s="64"/>
      <c r="APN102" s="64"/>
      <c r="APO102" s="64"/>
      <c r="APP102" s="64"/>
      <c r="APQ102" s="64"/>
      <c r="APR102" s="64"/>
      <c r="APS102" s="64"/>
      <c r="APT102" s="64"/>
      <c r="APU102" s="64"/>
      <c r="APV102" s="64"/>
      <c r="APW102" s="64"/>
      <c r="APX102" s="64"/>
      <c r="APY102" s="64"/>
      <c r="APZ102" s="64"/>
      <c r="AQA102" s="64"/>
      <c r="AQB102" s="64"/>
      <c r="AQC102" s="64"/>
      <c r="AQD102" s="64"/>
      <c r="AQE102" s="64"/>
      <c r="AQF102" s="64"/>
      <c r="AQG102" s="64"/>
      <c r="AQH102" s="64"/>
      <c r="AQI102" s="64"/>
      <c r="AQJ102" s="64"/>
      <c r="AQK102" s="64"/>
      <c r="AQL102" s="64"/>
      <c r="AQM102" s="64"/>
      <c r="AQN102" s="64"/>
      <c r="AQO102" s="64"/>
      <c r="AQP102" s="64"/>
      <c r="AQQ102" s="64"/>
      <c r="AQR102" s="64"/>
      <c r="AQS102" s="64"/>
      <c r="AQT102" s="64"/>
      <c r="AQU102" s="64"/>
      <c r="AQV102" s="64"/>
      <c r="AQW102" s="64"/>
      <c r="AQX102" s="64"/>
      <c r="AQY102" s="64"/>
      <c r="AQZ102" s="64"/>
      <c r="ARA102" s="64"/>
      <c r="ARB102" s="64"/>
      <c r="ARC102" s="64"/>
      <c r="ARD102" s="64"/>
      <c r="ARE102" s="64"/>
      <c r="ARF102" s="64"/>
      <c r="ARG102" s="64"/>
      <c r="ARH102" s="64"/>
      <c r="ARI102" s="64"/>
      <c r="ARJ102" s="64"/>
      <c r="ARK102" s="64"/>
      <c r="ARL102" s="64"/>
      <c r="ARM102" s="64"/>
      <c r="ARN102" s="64"/>
      <c r="ARO102" s="64"/>
      <c r="ARP102" s="64"/>
      <c r="ARQ102" s="64"/>
      <c r="ARR102" s="64"/>
      <c r="ARS102" s="64"/>
      <c r="ART102" s="64"/>
      <c r="ARU102" s="64"/>
      <c r="ARV102" s="64"/>
      <c r="ARW102" s="64"/>
      <c r="ARX102" s="64"/>
      <c r="ARY102" s="64"/>
      <c r="ARZ102" s="64"/>
      <c r="ASA102" s="64"/>
      <c r="ASB102" s="64"/>
      <c r="ASC102" s="64"/>
      <c r="ASD102" s="64"/>
      <c r="ASE102" s="64"/>
      <c r="ASF102" s="64"/>
      <c r="ASG102" s="64"/>
      <c r="ASH102" s="64"/>
      <c r="ASI102" s="64"/>
      <c r="ASJ102" s="64"/>
      <c r="ASK102" s="64"/>
      <c r="ASL102" s="64"/>
      <c r="ASM102" s="64"/>
      <c r="ASN102" s="64"/>
      <c r="ASO102" s="64"/>
      <c r="ASP102" s="64"/>
      <c r="ASQ102" s="64"/>
      <c r="ASR102" s="64"/>
      <c r="ASS102" s="64"/>
      <c r="AST102" s="64"/>
      <c r="ASU102" s="64"/>
      <c r="ASV102" s="64"/>
      <c r="ASW102" s="64"/>
      <c r="ASX102" s="64"/>
      <c r="ASY102" s="64"/>
      <c r="ASZ102" s="64"/>
      <c r="ATA102" s="64"/>
      <c r="ATB102" s="64"/>
      <c r="ATC102" s="64"/>
      <c r="ATD102" s="64"/>
      <c r="ATE102" s="64"/>
      <c r="ATF102" s="64"/>
      <c r="ATG102" s="64"/>
      <c r="ATH102" s="64"/>
      <c r="ATI102" s="64"/>
      <c r="ATJ102" s="64"/>
      <c r="ATK102" s="64"/>
      <c r="ATL102" s="64"/>
      <c r="ATS102" s="64"/>
      <c r="ATT102" s="64"/>
      <c r="ATU102" s="64"/>
      <c r="ATV102" s="64"/>
      <c r="ATW102" s="64"/>
      <c r="ATX102" s="64"/>
      <c r="ATY102" s="64"/>
      <c r="ATZ102" s="64"/>
      <c r="AUA102" s="64"/>
      <c r="AUB102" s="64"/>
      <c r="AUC102" s="64"/>
      <c r="AUD102" s="64"/>
      <c r="AUE102" s="64"/>
      <c r="AUF102" s="64"/>
      <c r="AUG102" s="64"/>
      <c r="AUH102" s="64"/>
      <c r="AUI102" s="64"/>
      <c r="AUJ102" s="64"/>
      <c r="AUK102" s="64"/>
      <c r="AUL102" s="64"/>
      <c r="AUM102" s="64"/>
      <c r="AUN102" s="64"/>
      <c r="AUO102" s="64"/>
      <c r="AUP102" s="64"/>
      <c r="AUQ102" s="64"/>
      <c r="AUR102" s="64"/>
      <c r="AUS102" s="64"/>
      <c r="AUT102" s="64"/>
      <c r="AUU102" s="64"/>
      <c r="AUV102" s="64"/>
      <c r="AUW102" s="64"/>
      <c r="AUX102" s="64"/>
      <c r="AUY102" s="64"/>
      <c r="AUZ102" s="64"/>
      <c r="AVA102" s="64"/>
      <c r="AVB102" s="64"/>
      <c r="AVC102" s="64"/>
      <c r="AVD102" s="64"/>
      <c r="AVE102" s="64"/>
      <c r="AVF102" s="64"/>
      <c r="AVG102" s="64"/>
      <c r="AVH102" s="64"/>
      <c r="AVI102" s="64"/>
      <c r="AVJ102" s="64"/>
      <c r="AVK102" s="64"/>
      <c r="AVL102" s="64"/>
      <c r="AVM102" s="64"/>
      <c r="AVN102" s="64"/>
      <c r="AVO102" s="64"/>
      <c r="AVP102" s="64"/>
      <c r="AVQ102" s="64"/>
      <c r="AVR102" s="64"/>
      <c r="AVS102" s="64"/>
      <c r="AVT102" s="64"/>
      <c r="AVU102" s="64"/>
      <c r="AVV102" s="64"/>
      <c r="AVW102" s="64"/>
      <c r="AVX102" s="64"/>
      <c r="AVY102" s="64"/>
      <c r="AVZ102" s="64"/>
      <c r="AWA102" s="64"/>
      <c r="AWB102" s="64"/>
      <c r="AWC102" s="64"/>
      <c r="AWD102" s="64"/>
      <c r="AWE102" s="64"/>
      <c r="AWF102" s="64"/>
      <c r="AWG102" s="64"/>
      <c r="AWH102" s="64"/>
      <c r="AWI102" s="64"/>
      <c r="AWJ102" s="64"/>
      <c r="AWK102" s="64"/>
      <c r="AWL102" s="64"/>
      <c r="AWM102" s="64"/>
      <c r="AWN102" s="64"/>
      <c r="AWO102" s="64"/>
      <c r="AWP102" s="64"/>
      <c r="AWQ102" s="64"/>
      <c r="AWR102" s="64"/>
      <c r="AWS102" s="64"/>
      <c r="AWT102" s="64"/>
      <c r="AWU102" s="64"/>
      <c r="AWV102" s="64"/>
      <c r="AWW102" s="64"/>
      <c r="AWX102" s="64"/>
      <c r="AWY102" s="64"/>
      <c r="AWZ102" s="64"/>
      <c r="AXA102" s="64"/>
      <c r="AXB102" s="64"/>
      <c r="AXC102" s="64"/>
      <c r="AXD102" s="64"/>
      <c r="AXE102" s="64"/>
      <c r="AXF102" s="64"/>
      <c r="AXG102" s="64"/>
      <c r="AXH102" s="64"/>
      <c r="AXI102" s="64"/>
      <c r="AXJ102" s="64"/>
      <c r="AXK102" s="64"/>
      <c r="AXL102" s="64"/>
      <c r="AXM102" s="64"/>
      <c r="AXN102" s="64"/>
      <c r="AXO102" s="64"/>
      <c r="AXP102" s="64"/>
      <c r="AXQ102" s="64"/>
      <c r="AXR102" s="64"/>
      <c r="AXS102" s="64"/>
      <c r="AXT102" s="64"/>
      <c r="AXU102" s="64"/>
      <c r="AXV102" s="64"/>
      <c r="AXW102" s="64"/>
      <c r="AXX102" s="64"/>
      <c r="AXY102" s="64"/>
      <c r="AXZ102" s="64"/>
      <c r="AYA102" s="64"/>
      <c r="AYB102" s="64"/>
      <c r="AYC102" s="64"/>
      <c r="AYD102" s="64"/>
      <c r="AYE102" s="64"/>
      <c r="AYF102" s="64"/>
      <c r="AYG102" s="64"/>
      <c r="AYH102" s="64"/>
      <c r="AYI102" s="64"/>
      <c r="AYJ102" s="64"/>
      <c r="AYK102" s="64"/>
      <c r="AYL102" s="64"/>
      <c r="AYM102" s="64"/>
      <c r="AYN102" s="64"/>
      <c r="AYO102" s="64"/>
      <c r="AYP102" s="64"/>
      <c r="AYQ102" s="64"/>
      <c r="AYR102" s="64"/>
      <c r="AYS102" s="64"/>
      <c r="AYT102" s="64"/>
      <c r="AYU102" s="64"/>
      <c r="AYV102" s="64"/>
      <c r="AYW102" s="64"/>
      <c r="AYX102" s="64"/>
      <c r="AYY102" s="64"/>
      <c r="AYZ102" s="64"/>
      <c r="AZA102" s="64"/>
      <c r="AZB102" s="64"/>
      <c r="AZC102" s="64"/>
      <c r="AZD102" s="64"/>
      <c r="AZE102" s="64"/>
      <c r="AZF102" s="64"/>
      <c r="AZG102" s="64"/>
      <c r="AZH102" s="64"/>
      <c r="AZI102" s="64"/>
      <c r="AZJ102" s="64"/>
      <c r="AZK102" s="64"/>
      <c r="AZL102" s="64"/>
      <c r="AZM102" s="64"/>
      <c r="AZN102" s="64"/>
      <c r="AZO102" s="64"/>
      <c r="AZP102" s="64"/>
      <c r="AZQ102" s="64"/>
      <c r="AZR102" s="64"/>
      <c r="AZS102" s="64"/>
      <c r="AZT102" s="64"/>
      <c r="AZU102" s="64"/>
      <c r="AZV102" s="64"/>
      <c r="AZW102" s="64"/>
      <c r="AZX102" s="64"/>
      <c r="AZY102" s="64"/>
      <c r="AZZ102" s="64"/>
      <c r="BAA102" s="64"/>
      <c r="BAB102" s="64"/>
      <c r="BAC102" s="64"/>
      <c r="BAD102" s="64"/>
      <c r="BAE102" s="64"/>
      <c r="BAF102" s="64"/>
      <c r="BAG102" s="64"/>
      <c r="BAH102" s="64"/>
      <c r="BAI102" s="64"/>
      <c r="BAJ102" s="64"/>
      <c r="BAK102" s="64"/>
      <c r="BAL102" s="64"/>
      <c r="BAM102" s="64"/>
      <c r="BAN102" s="64"/>
      <c r="BAO102" s="64"/>
      <c r="BAP102" s="64"/>
      <c r="BAQ102" s="64"/>
      <c r="BAR102" s="64"/>
      <c r="BAS102" s="64"/>
      <c r="BAT102" s="64"/>
      <c r="BAU102" s="64"/>
      <c r="BAV102" s="64"/>
      <c r="BAW102" s="64"/>
      <c r="BAX102" s="64"/>
      <c r="BAY102" s="64"/>
      <c r="BAZ102" s="64"/>
      <c r="BBA102" s="64"/>
      <c r="BBB102" s="64"/>
      <c r="BBC102" s="64"/>
      <c r="BBD102" s="64"/>
      <c r="BBE102" s="64"/>
      <c r="BBF102" s="64"/>
      <c r="BBG102" s="64"/>
      <c r="BBH102" s="64"/>
      <c r="BBI102" s="64"/>
      <c r="BBJ102" s="64"/>
      <c r="BBK102" s="64"/>
      <c r="BBL102" s="64"/>
      <c r="BBM102" s="64"/>
      <c r="BBN102" s="64"/>
      <c r="BBO102" s="64"/>
      <c r="BBP102" s="64"/>
      <c r="BBQ102" s="64"/>
      <c r="BBR102" s="64"/>
      <c r="BBS102" s="64"/>
      <c r="BBT102" s="64"/>
      <c r="BBU102" s="64"/>
      <c r="BBV102" s="64"/>
      <c r="BBW102" s="64"/>
      <c r="BBX102" s="64"/>
      <c r="BBY102" s="64"/>
      <c r="BBZ102" s="64"/>
      <c r="BCA102" s="64"/>
      <c r="BCB102" s="64"/>
      <c r="BCC102" s="64"/>
      <c r="BCD102" s="64"/>
      <c r="BCE102" s="64"/>
      <c r="BCF102" s="64"/>
      <c r="BCG102" s="64"/>
      <c r="BCH102" s="64"/>
      <c r="BCI102" s="64"/>
      <c r="BCJ102" s="64"/>
      <c r="BCK102" s="64"/>
      <c r="BCL102" s="64"/>
      <c r="BCM102" s="64"/>
      <c r="BCN102" s="64"/>
      <c r="BCO102" s="64"/>
      <c r="BCP102" s="64"/>
      <c r="BCQ102" s="64"/>
      <c r="BCR102" s="64"/>
      <c r="BCS102" s="64"/>
      <c r="BCT102" s="64"/>
      <c r="BCU102" s="64"/>
      <c r="BCV102" s="64"/>
      <c r="BCW102" s="64"/>
      <c r="BCX102" s="64"/>
      <c r="BCY102" s="64"/>
      <c r="BCZ102" s="64"/>
      <c r="BDA102" s="64"/>
      <c r="BDB102" s="64"/>
      <c r="BDC102" s="64"/>
      <c r="BDD102" s="64"/>
      <c r="BDE102" s="64"/>
      <c r="BDF102" s="64"/>
      <c r="BDG102" s="64"/>
      <c r="BDH102" s="64"/>
      <c r="BDO102" s="64"/>
      <c r="BDP102" s="64"/>
      <c r="BDQ102" s="64"/>
      <c r="BDR102" s="64"/>
      <c r="BDS102" s="64"/>
      <c r="BDT102" s="64"/>
      <c r="BDU102" s="64"/>
      <c r="BDV102" s="64"/>
      <c r="BDW102" s="64"/>
      <c r="BDX102" s="64"/>
      <c r="BDY102" s="64"/>
      <c r="BDZ102" s="64"/>
      <c r="BEA102" s="64"/>
      <c r="BEB102" s="64"/>
      <c r="BEC102" s="64"/>
      <c r="BED102" s="64"/>
      <c r="BEE102" s="64"/>
      <c r="BEF102" s="64"/>
      <c r="BEG102" s="64"/>
      <c r="BEH102" s="64"/>
      <c r="BEI102" s="64"/>
      <c r="BEJ102" s="64"/>
      <c r="BEK102" s="64"/>
      <c r="BEL102" s="64"/>
      <c r="BEM102" s="64"/>
      <c r="BEN102" s="64"/>
      <c r="BEO102" s="64"/>
      <c r="BEP102" s="64"/>
      <c r="BEQ102" s="64"/>
      <c r="BER102" s="64"/>
      <c r="BES102" s="64"/>
      <c r="BET102" s="64"/>
      <c r="BEU102" s="64"/>
      <c r="BEV102" s="64"/>
      <c r="BEW102" s="64"/>
      <c r="BEX102" s="64"/>
      <c r="BEY102" s="64"/>
      <c r="BEZ102" s="64"/>
      <c r="BFA102" s="64"/>
      <c r="BFB102" s="64"/>
      <c r="BFC102" s="64"/>
      <c r="BFD102" s="64"/>
      <c r="BFE102" s="64"/>
      <c r="BFF102" s="64"/>
      <c r="BFG102" s="64"/>
      <c r="BFH102" s="64"/>
      <c r="BFI102" s="64"/>
      <c r="BFJ102" s="64"/>
      <c r="BFK102" s="64"/>
      <c r="BFL102" s="64"/>
      <c r="BFM102" s="64"/>
      <c r="BFN102" s="64"/>
      <c r="BFO102" s="64"/>
      <c r="BFP102" s="64"/>
      <c r="BFQ102" s="64"/>
      <c r="BFR102" s="64"/>
      <c r="BFS102" s="64"/>
      <c r="BFT102" s="64"/>
      <c r="BFU102" s="64"/>
      <c r="BFV102" s="64"/>
      <c r="BFW102" s="64"/>
      <c r="BFX102" s="64"/>
      <c r="BFY102" s="64"/>
      <c r="BFZ102" s="64"/>
      <c r="BGA102" s="64"/>
      <c r="BGB102" s="64"/>
      <c r="BGC102" s="64"/>
      <c r="BGD102" s="64"/>
      <c r="BGE102" s="64"/>
      <c r="BGF102" s="64"/>
      <c r="BGG102" s="64"/>
      <c r="BGH102" s="64"/>
      <c r="BGI102" s="64"/>
      <c r="BGJ102" s="64"/>
      <c r="BGK102" s="64"/>
      <c r="BGL102" s="64"/>
      <c r="BGM102" s="64"/>
      <c r="BGN102" s="64"/>
      <c r="BGO102" s="64"/>
      <c r="BGP102" s="64"/>
      <c r="BGQ102" s="64"/>
      <c r="BGR102" s="64"/>
      <c r="BGS102" s="64"/>
      <c r="BGT102" s="64"/>
      <c r="BGU102" s="64"/>
      <c r="BGV102" s="64"/>
      <c r="BGW102" s="64"/>
      <c r="BGX102" s="64"/>
      <c r="BGY102" s="64"/>
      <c r="BGZ102" s="64"/>
      <c r="BHA102" s="64"/>
      <c r="BHB102" s="64"/>
      <c r="BHC102" s="64"/>
      <c r="BHD102" s="64"/>
      <c r="BHE102" s="64"/>
      <c r="BHF102" s="64"/>
      <c r="BHG102" s="64"/>
      <c r="BHH102" s="64"/>
      <c r="BHI102" s="64"/>
      <c r="BHJ102" s="64"/>
      <c r="BHK102" s="64"/>
      <c r="BHL102" s="64"/>
      <c r="BHM102" s="64"/>
      <c r="BHN102" s="64"/>
      <c r="BHO102" s="64"/>
      <c r="BHP102" s="64"/>
      <c r="BHQ102" s="64"/>
      <c r="BHR102" s="64"/>
      <c r="BHS102" s="64"/>
      <c r="BHT102" s="64"/>
      <c r="BHU102" s="64"/>
      <c r="BHV102" s="64"/>
      <c r="BHW102" s="64"/>
      <c r="BHX102" s="64"/>
      <c r="BHY102" s="64"/>
      <c r="BHZ102" s="64"/>
      <c r="BIA102" s="64"/>
      <c r="BIB102" s="64"/>
      <c r="BIC102" s="64"/>
      <c r="BID102" s="64"/>
      <c r="BIE102" s="64"/>
      <c r="BIF102" s="64"/>
      <c r="BIG102" s="64"/>
      <c r="BIH102" s="64"/>
      <c r="BII102" s="64"/>
      <c r="BIJ102" s="64"/>
      <c r="BIK102" s="64"/>
      <c r="BIL102" s="64"/>
      <c r="BIM102" s="64"/>
      <c r="BIN102" s="64"/>
      <c r="BIO102" s="64"/>
      <c r="BIP102" s="64"/>
      <c r="BIQ102" s="64"/>
      <c r="BIR102" s="64"/>
      <c r="BIS102" s="64"/>
      <c r="BIT102" s="64"/>
      <c r="BIU102" s="64"/>
      <c r="BIV102" s="64"/>
      <c r="BIW102" s="64"/>
      <c r="BIX102" s="64"/>
      <c r="BIY102" s="64"/>
      <c r="BIZ102" s="64"/>
      <c r="BJA102" s="64"/>
      <c r="BJB102" s="64"/>
      <c r="BJC102" s="64"/>
      <c r="BJD102" s="64"/>
      <c r="BJE102" s="64"/>
      <c r="BJF102" s="64"/>
      <c r="BJG102" s="64"/>
      <c r="BJH102" s="64"/>
      <c r="BJI102" s="64"/>
      <c r="BJJ102" s="64"/>
      <c r="BJK102" s="64"/>
      <c r="BJL102" s="64"/>
      <c r="BJM102" s="64"/>
      <c r="BJN102" s="64"/>
      <c r="BJO102" s="64"/>
      <c r="BJP102" s="64"/>
      <c r="BJQ102" s="64"/>
      <c r="BJR102" s="64"/>
      <c r="BJS102" s="64"/>
      <c r="BJT102" s="64"/>
      <c r="BJU102" s="64"/>
      <c r="BJV102" s="64"/>
      <c r="BJW102" s="64"/>
      <c r="BJX102" s="64"/>
      <c r="BJY102" s="64"/>
      <c r="BJZ102" s="64"/>
      <c r="BKA102" s="64"/>
      <c r="BKB102" s="64"/>
      <c r="BKC102" s="64"/>
      <c r="BKD102" s="64"/>
      <c r="BKE102" s="64"/>
      <c r="BKF102" s="64"/>
      <c r="BKG102" s="64"/>
      <c r="BKH102" s="64"/>
      <c r="BKI102" s="64"/>
      <c r="BKJ102" s="64"/>
      <c r="BKK102" s="64"/>
      <c r="BKL102" s="64"/>
      <c r="BKM102" s="64"/>
      <c r="BKN102" s="64"/>
      <c r="BKO102" s="64"/>
      <c r="BKP102" s="64"/>
      <c r="BKQ102" s="64"/>
      <c r="BKR102" s="64"/>
      <c r="BKS102" s="64"/>
      <c r="BKT102" s="64"/>
      <c r="BKU102" s="64"/>
      <c r="BKV102" s="64"/>
      <c r="BKW102" s="64"/>
      <c r="BKX102" s="64"/>
      <c r="BKY102" s="64"/>
      <c r="BKZ102" s="64"/>
      <c r="BLA102" s="64"/>
      <c r="BLB102" s="64"/>
      <c r="BLC102" s="64"/>
      <c r="BLD102" s="64"/>
      <c r="BLE102" s="64"/>
      <c r="BLF102" s="64"/>
      <c r="BLG102" s="64"/>
      <c r="BLH102" s="64"/>
      <c r="BLI102" s="64"/>
      <c r="BLJ102" s="64"/>
      <c r="BLK102" s="64"/>
      <c r="BLL102" s="64"/>
      <c r="BLM102" s="64"/>
      <c r="BLN102" s="64"/>
      <c r="BLO102" s="64"/>
      <c r="BLP102" s="64"/>
      <c r="BLQ102" s="64"/>
      <c r="BLR102" s="64"/>
      <c r="BLS102" s="64"/>
      <c r="BLT102" s="64"/>
      <c r="BLU102" s="64"/>
      <c r="BLV102" s="64"/>
      <c r="BLW102" s="64"/>
      <c r="BLX102" s="64"/>
      <c r="BLY102" s="64"/>
      <c r="BLZ102" s="64"/>
      <c r="BMA102" s="64"/>
      <c r="BMB102" s="64"/>
      <c r="BMC102" s="64"/>
      <c r="BMD102" s="64"/>
      <c r="BME102" s="64"/>
      <c r="BMF102" s="64"/>
      <c r="BMG102" s="64"/>
      <c r="BMH102" s="64"/>
      <c r="BMI102" s="64"/>
      <c r="BMJ102" s="64"/>
      <c r="BMK102" s="64"/>
      <c r="BML102" s="64"/>
      <c r="BMM102" s="64"/>
      <c r="BMN102" s="64"/>
      <c r="BMO102" s="64"/>
      <c r="BMP102" s="64"/>
      <c r="BMQ102" s="64"/>
      <c r="BMR102" s="64"/>
      <c r="BMS102" s="64"/>
      <c r="BMT102" s="64"/>
      <c r="BMU102" s="64"/>
      <c r="BMV102" s="64"/>
      <c r="BMW102" s="64"/>
      <c r="BMX102" s="64"/>
      <c r="BMY102" s="64"/>
      <c r="BMZ102" s="64"/>
      <c r="BNA102" s="64"/>
      <c r="BNB102" s="64"/>
      <c r="BNC102" s="64"/>
      <c r="BND102" s="64"/>
      <c r="BNK102" s="64"/>
      <c r="BNL102" s="64"/>
      <c r="BNM102" s="64"/>
      <c r="BNN102" s="64"/>
      <c r="BNO102" s="64"/>
      <c r="BNP102" s="64"/>
      <c r="BNQ102" s="64"/>
      <c r="BNR102" s="64"/>
      <c r="BNS102" s="64"/>
      <c r="BNT102" s="64"/>
      <c r="BNU102" s="64"/>
      <c r="BNV102" s="64"/>
      <c r="BNW102" s="64"/>
      <c r="BNX102" s="64"/>
      <c r="BNY102" s="64"/>
      <c r="BNZ102" s="64"/>
      <c r="BOA102" s="64"/>
      <c r="BOB102" s="64"/>
      <c r="BOC102" s="64"/>
      <c r="BOD102" s="64"/>
      <c r="BOE102" s="64"/>
      <c r="BOF102" s="64"/>
      <c r="BOG102" s="64"/>
      <c r="BOH102" s="64"/>
      <c r="BOI102" s="64"/>
      <c r="BOJ102" s="64"/>
      <c r="BOK102" s="64"/>
      <c r="BOL102" s="64"/>
      <c r="BOM102" s="64"/>
      <c r="BON102" s="64"/>
      <c r="BOO102" s="64"/>
      <c r="BOP102" s="64"/>
      <c r="BOQ102" s="64"/>
      <c r="BOR102" s="64"/>
      <c r="BOS102" s="64"/>
      <c r="BOT102" s="64"/>
      <c r="BOU102" s="64"/>
      <c r="BOV102" s="64"/>
      <c r="BOW102" s="64"/>
      <c r="BOX102" s="64"/>
      <c r="BOY102" s="64"/>
      <c r="BOZ102" s="64"/>
      <c r="BPA102" s="64"/>
      <c r="BPB102" s="64"/>
      <c r="BPC102" s="64"/>
      <c r="BPD102" s="64"/>
      <c r="BPE102" s="64"/>
      <c r="BPF102" s="64"/>
      <c r="BPG102" s="64"/>
      <c r="BPH102" s="64"/>
      <c r="BPI102" s="64"/>
      <c r="BPJ102" s="64"/>
      <c r="BPK102" s="64"/>
      <c r="BPL102" s="64"/>
      <c r="BPM102" s="64"/>
      <c r="BPN102" s="64"/>
      <c r="BPO102" s="64"/>
      <c r="BPP102" s="64"/>
      <c r="BPQ102" s="64"/>
      <c r="BPR102" s="64"/>
      <c r="BPS102" s="64"/>
      <c r="BPT102" s="64"/>
      <c r="BPU102" s="64"/>
      <c r="BPV102" s="64"/>
      <c r="BPW102" s="64"/>
      <c r="BPX102" s="64"/>
      <c r="BPY102" s="64"/>
      <c r="BPZ102" s="64"/>
      <c r="BQA102" s="64"/>
      <c r="BQB102" s="64"/>
      <c r="BQC102" s="64"/>
      <c r="BQD102" s="64"/>
      <c r="BQE102" s="64"/>
      <c r="BQF102" s="64"/>
      <c r="BQG102" s="64"/>
      <c r="BQH102" s="64"/>
      <c r="BQI102" s="64"/>
      <c r="BQJ102" s="64"/>
      <c r="BQK102" s="64"/>
      <c r="BQL102" s="64"/>
      <c r="BQM102" s="64"/>
      <c r="BQN102" s="64"/>
      <c r="BQO102" s="64"/>
      <c r="BQP102" s="64"/>
      <c r="BQQ102" s="64"/>
      <c r="BQR102" s="64"/>
      <c r="BQS102" s="64"/>
      <c r="BQT102" s="64"/>
      <c r="BQU102" s="64"/>
      <c r="BQV102" s="64"/>
      <c r="BQW102" s="64"/>
      <c r="BQX102" s="64"/>
      <c r="BQY102" s="64"/>
      <c r="BQZ102" s="64"/>
      <c r="BRA102" s="64"/>
      <c r="BRB102" s="64"/>
      <c r="BRC102" s="64"/>
      <c r="BRD102" s="64"/>
      <c r="BRE102" s="64"/>
      <c r="BRF102" s="64"/>
      <c r="BRG102" s="64"/>
      <c r="BRH102" s="64"/>
      <c r="BRI102" s="64"/>
      <c r="BRJ102" s="64"/>
      <c r="BRK102" s="64"/>
      <c r="BRL102" s="64"/>
      <c r="BRM102" s="64"/>
      <c r="BRN102" s="64"/>
      <c r="BRO102" s="64"/>
      <c r="BRP102" s="64"/>
      <c r="BRQ102" s="64"/>
      <c r="BRR102" s="64"/>
      <c r="BRS102" s="64"/>
      <c r="BRT102" s="64"/>
      <c r="BRU102" s="64"/>
      <c r="BRV102" s="64"/>
      <c r="BRW102" s="64"/>
      <c r="BRX102" s="64"/>
      <c r="BRY102" s="64"/>
      <c r="BRZ102" s="64"/>
      <c r="BSA102" s="64"/>
      <c r="BSB102" s="64"/>
      <c r="BSC102" s="64"/>
      <c r="BSD102" s="64"/>
      <c r="BSE102" s="64"/>
      <c r="BSF102" s="64"/>
      <c r="BSG102" s="64"/>
      <c r="BSH102" s="64"/>
      <c r="BSI102" s="64"/>
      <c r="BSJ102" s="64"/>
      <c r="BSK102" s="64"/>
      <c r="BSL102" s="64"/>
      <c r="BSM102" s="64"/>
      <c r="BSN102" s="64"/>
      <c r="BSO102" s="64"/>
      <c r="BSP102" s="64"/>
      <c r="BSQ102" s="64"/>
      <c r="BSR102" s="64"/>
      <c r="BSS102" s="64"/>
      <c r="BST102" s="64"/>
      <c r="BSU102" s="64"/>
      <c r="BSV102" s="64"/>
      <c r="BSW102" s="64"/>
      <c r="BSX102" s="64"/>
      <c r="BSY102" s="64"/>
      <c r="BSZ102" s="64"/>
      <c r="BTA102" s="64"/>
      <c r="BTB102" s="64"/>
      <c r="BTC102" s="64"/>
      <c r="BTD102" s="64"/>
      <c r="BTE102" s="64"/>
      <c r="BTF102" s="64"/>
      <c r="BTG102" s="64"/>
      <c r="BTH102" s="64"/>
      <c r="BTI102" s="64"/>
      <c r="BTJ102" s="64"/>
      <c r="BTK102" s="64"/>
      <c r="BTL102" s="64"/>
      <c r="BTM102" s="64"/>
      <c r="BTN102" s="64"/>
      <c r="BTO102" s="64"/>
      <c r="BTP102" s="64"/>
      <c r="BTQ102" s="64"/>
      <c r="BTR102" s="64"/>
      <c r="BTS102" s="64"/>
      <c r="BTT102" s="64"/>
      <c r="BTU102" s="64"/>
      <c r="BTV102" s="64"/>
      <c r="BTW102" s="64"/>
      <c r="BTX102" s="64"/>
      <c r="BTY102" s="64"/>
      <c r="BTZ102" s="64"/>
      <c r="BUA102" s="64"/>
      <c r="BUB102" s="64"/>
      <c r="BUC102" s="64"/>
      <c r="BUD102" s="64"/>
      <c r="BUE102" s="64"/>
      <c r="BUF102" s="64"/>
      <c r="BUG102" s="64"/>
      <c r="BUH102" s="64"/>
      <c r="BUI102" s="64"/>
      <c r="BUJ102" s="64"/>
      <c r="BUK102" s="64"/>
      <c r="BUL102" s="64"/>
      <c r="BUM102" s="64"/>
      <c r="BUN102" s="64"/>
      <c r="BUO102" s="64"/>
      <c r="BUP102" s="64"/>
      <c r="BUQ102" s="64"/>
      <c r="BUR102" s="64"/>
      <c r="BUS102" s="64"/>
      <c r="BUT102" s="64"/>
      <c r="BUU102" s="64"/>
      <c r="BUV102" s="64"/>
      <c r="BUW102" s="64"/>
      <c r="BUX102" s="64"/>
      <c r="BUY102" s="64"/>
      <c r="BUZ102" s="64"/>
      <c r="BVA102" s="64"/>
      <c r="BVB102" s="64"/>
      <c r="BVC102" s="64"/>
      <c r="BVD102" s="64"/>
      <c r="BVE102" s="64"/>
      <c r="BVF102" s="64"/>
      <c r="BVG102" s="64"/>
      <c r="BVH102" s="64"/>
      <c r="BVI102" s="64"/>
      <c r="BVJ102" s="64"/>
      <c r="BVK102" s="64"/>
      <c r="BVL102" s="64"/>
      <c r="BVM102" s="64"/>
      <c r="BVN102" s="64"/>
      <c r="BVO102" s="64"/>
      <c r="BVP102" s="64"/>
      <c r="BVQ102" s="64"/>
      <c r="BVR102" s="64"/>
      <c r="BVS102" s="64"/>
      <c r="BVT102" s="64"/>
      <c r="BVU102" s="64"/>
      <c r="BVV102" s="64"/>
      <c r="BVW102" s="64"/>
      <c r="BVX102" s="64"/>
      <c r="BVY102" s="64"/>
      <c r="BVZ102" s="64"/>
      <c r="BWA102" s="64"/>
      <c r="BWB102" s="64"/>
      <c r="BWC102" s="64"/>
      <c r="BWD102" s="64"/>
      <c r="BWE102" s="64"/>
      <c r="BWF102" s="64"/>
      <c r="BWG102" s="64"/>
      <c r="BWH102" s="64"/>
      <c r="BWI102" s="64"/>
      <c r="BWJ102" s="64"/>
      <c r="BWK102" s="64"/>
      <c r="BWL102" s="64"/>
      <c r="BWM102" s="64"/>
      <c r="BWN102" s="64"/>
      <c r="BWO102" s="64"/>
      <c r="BWP102" s="64"/>
      <c r="BWQ102" s="64"/>
      <c r="BWR102" s="64"/>
      <c r="BWS102" s="64"/>
      <c r="BWT102" s="64"/>
      <c r="BWU102" s="64"/>
      <c r="BWV102" s="64"/>
      <c r="BWW102" s="64"/>
      <c r="BWX102" s="64"/>
      <c r="BWY102" s="64"/>
      <c r="BWZ102" s="64"/>
      <c r="BXG102" s="64"/>
      <c r="BXH102" s="64"/>
      <c r="BXI102" s="64"/>
      <c r="BXJ102" s="64"/>
      <c r="BXK102" s="64"/>
      <c r="BXL102" s="64"/>
      <c r="BXM102" s="64"/>
      <c r="BXN102" s="64"/>
      <c r="BXO102" s="64"/>
      <c r="BXP102" s="64"/>
      <c r="BXQ102" s="64"/>
      <c r="BXR102" s="64"/>
      <c r="BXS102" s="64"/>
      <c r="BXT102" s="64"/>
      <c r="BXU102" s="64"/>
      <c r="BXV102" s="64"/>
      <c r="BXW102" s="64"/>
      <c r="BXX102" s="64"/>
      <c r="BXY102" s="64"/>
      <c r="BXZ102" s="64"/>
      <c r="BYA102" s="64"/>
      <c r="BYB102" s="64"/>
      <c r="BYC102" s="64"/>
      <c r="BYD102" s="64"/>
      <c r="BYE102" s="64"/>
      <c r="BYF102" s="64"/>
      <c r="BYG102" s="64"/>
      <c r="BYH102" s="64"/>
      <c r="BYI102" s="64"/>
      <c r="BYJ102" s="64"/>
      <c r="BYK102" s="64"/>
      <c r="BYL102" s="64"/>
      <c r="BYM102" s="64"/>
      <c r="BYN102" s="64"/>
      <c r="BYO102" s="64"/>
      <c r="BYP102" s="64"/>
      <c r="BYQ102" s="64"/>
      <c r="BYR102" s="64"/>
      <c r="BYS102" s="64"/>
      <c r="BYT102" s="64"/>
      <c r="BYU102" s="64"/>
      <c r="BYV102" s="64"/>
      <c r="BYW102" s="64"/>
      <c r="BYX102" s="64"/>
      <c r="BYY102" s="64"/>
      <c r="BYZ102" s="64"/>
      <c r="BZA102" s="64"/>
      <c r="BZB102" s="64"/>
      <c r="BZC102" s="64"/>
      <c r="BZD102" s="64"/>
      <c r="BZE102" s="64"/>
      <c r="BZF102" s="64"/>
      <c r="BZG102" s="64"/>
      <c r="BZH102" s="64"/>
      <c r="BZI102" s="64"/>
      <c r="BZJ102" s="64"/>
      <c r="BZK102" s="64"/>
      <c r="BZL102" s="64"/>
      <c r="BZM102" s="64"/>
      <c r="BZN102" s="64"/>
      <c r="BZO102" s="64"/>
      <c r="BZP102" s="64"/>
      <c r="BZQ102" s="64"/>
      <c r="BZR102" s="64"/>
      <c r="BZS102" s="64"/>
      <c r="BZT102" s="64"/>
      <c r="BZU102" s="64"/>
      <c r="BZV102" s="64"/>
      <c r="BZW102" s="64"/>
      <c r="BZX102" s="64"/>
      <c r="BZY102" s="64"/>
      <c r="BZZ102" s="64"/>
      <c r="CAA102" s="64"/>
      <c r="CAB102" s="64"/>
      <c r="CAC102" s="64"/>
      <c r="CAD102" s="64"/>
      <c r="CAE102" s="64"/>
      <c r="CAF102" s="64"/>
      <c r="CAG102" s="64"/>
      <c r="CAH102" s="64"/>
      <c r="CAI102" s="64"/>
      <c r="CAJ102" s="64"/>
      <c r="CAK102" s="64"/>
      <c r="CAL102" s="64"/>
      <c r="CAM102" s="64"/>
      <c r="CAN102" s="64"/>
      <c r="CAO102" s="64"/>
      <c r="CAP102" s="64"/>
      <c r="CAQ102" s="64"/>
      <c r="CAR102" s="64"/>
      <c r="CAS102" s="64"/>
      <c r="CAT102" s="64"/>
      <c r="CAU102" s="64"/>
      <c r="CAV102" s="64"/>
      <c r="CAW102" s="64"/>
      <c r="CAX102" s="64"/>
      <c r="CAY102" s="64"/>
      <c r="CAZ102" s="64"/>
      <c r="CBA102" s="64"/>
      <c r="CBB102" s="64"/>
      <c r="CBC102" s="64"/>
      <c r="CBD102" s="64"/>
      <c r="CBE102" s="64"/>
      <c r="CBF102" s="64"/>
      <c r="CBG102" s="64"/>
      <c r="CBH102" s="64"/>
      <c r="CBI102" s="64"/>
      <c r="CBJ102" s="64"/>
      <c r="CBK102" s="64"/>
      <c r="CBL102" s="64"/>
      <c r="CBM102" s="64"/>
      <c r="CBN102" s="64"/>
      <c r="CBO102" s="64"/>
      <c r="CBP102" s="64"/>
      <c r="CBQ102" s="64"/>
      <c r="CBR102" s="64"/>
      <c r="CBS102" s="64"/>
      <c r="CBT102" s="64"/>
      <c r="CBU102" s="64"/>
      <c r="CBV102" s="64"/>
      <c r="CBW102" s="64"/>
      <c r="CBX102" s="64"/>
      <c r="CBY102" s="64"/>
      <c r="CBZ102" s="64"/>
      <c r="CCA102" s="64"/>
      <c r="CCB102" s="64"/>
      <c r="CCC102" s="64"/>
      <c r="CCD102" s="64"/>
      <c r="CCE102" s="64"/>
      <c r="CCF102" s="64"/>
      <c r="CCG102" s="64"/>
      <c r="CCH102" s="64"/>
      <c r="CCI102" s="64"/>
      <c r="CCJ102" s="64"/>
      <c r="CCK102" s="64"/>
      <c r="CCL102" s="64"/>
      <c r="CCM102" s="64"/>
      <c r="CCN102" s="64"/>
      <c r="CCO102" s="64"/>
      <c r="CCP102" s="64"/>
      <c r="CCQ102" s="64"/>
      <c r="CCR102" s="64"/>
      <c r="CCS102" s="64"/>
      <c r="CCT102" s="64"/>
      <c r="CCU102" s="64"/>
      <c r="CCV102" s="64"/>
      <c r="CCW102" s="64"/>
      <c r="CCX102" s="64"/>
      <c r="CCY102" s="64"/>
      <c r="CCZ102" s="64"/>
      <c r="CDA102" s="64"/>
      <c r="CDB102" s="64"/>
      <c r="CDC102" s="64"/>
      <c r="CDD102" s="64"/>
      <c r="CDE102" s="64"/>
      <c r="CDF102" s="64"/>
      <c r="CDG102" s="64"/>
      <c r="CDH102" s="64"/>
      <c r="CDI102" s="64"/>
      <c r="CDJ102" s="64"/>
      <c r="CDK102" s="64"/>
      <c r="CDL102" s="64"/>
      <c r="CDM102" s="64"/>
      <c r="CDN102" s="64"/>
      <c r="CDO102" s="64"/>
      <c r="CDP102" s="64"/>
      <c r="CDQ102" s="64"/>
      <c r="CDR102" s="64"/>
      <c r="CDS102" s="64"/>
      <c r="CDT102" s="64"/>
      <c r="CDU102" s="64"/>
      <c r="CDV102" s="64"/>
      <c r="CDW102" s="64"/>
      <c r="CDX102" s="64"/>
      <c r="CDY102" s="64"/>
      <c r="CDZ102" s="64"/>
      <c r="CEA102" s="64"/>
      <c r="CEB102" s="64"/>
      <c r="CEC102" s="64"/>
      <c r="CED102" s="64"/>
      <c r="CEE102" s="64"/>
      <c r="CEF102" s="64"/>
      <c r="CEG102" s="64"/>
      <c r="CEH102" s="64"/>
      <c r="CEI102" s="64"/>
      <c r="CEJ102" s="64"/>
      <c r="CEK102" s="64"/>
      <c r="CEL102" s="64"/>
      <c r="CEM102" s="64"/>
      <c r="CEN102" s="64"/>
      <c r="CEO102" s="64"/>
      <c r="CEP102" s="64"/>
      <c r="CEQ102" s="64"/>
      <c r="CER102" s="64"/>
      <c r="CES102" s="64"/>
      <c r="CET102" s="64"/>
      <c r="CEU102" s="64"/>
      <c r="CEV102" s="64"/>
      <c r="CEW102" s="64"/>
      <c r="CEX102" s="64"/>
      <c r="CEY102" s="64"/>
      <c r="CEZ102" s="64"/>
      <c r="CFA102" s="64"/>
      <c r="CFB102" s="64"/>
      <c r="CFC102" s="64"/>
      <c r="CFD102" s="64"/>
      <c r="CFE102" s="64"/>
      <c r="CFF102" s="64"/>
      <c r="CFG102" s="64"/>
      <c r="CFH102" s="64"/>
      <c r="CFI102" s="64"/>
      <c r="CFJ102" s="64"/>
      <c r="CFK102" s="64"/>
      <c r="CFL102" s="64"/>
      <c r="CFM102" s="64"/>
      <c r="CFN102" s="64"/>
      <c r="CFO102" s="64"/>
      <c r="CFP102" s="64"/>
      <c r="CFQ102" s="64"/>
      <c r="CFR102" s="64"/>
      <c r="CFS102" s="64"/>
      <c r="CFT102" s="64"/>
      <c r="CFU102" s="64"/>
      <c r="CFV102" s="64"/>
      <c r="CFW102" s="64"/>
      <c r="CFX102" s="64"/>
      <c r="CFY102" s="64"/>
      <c r="CFZ102" s="64"/>
      <c r="CGA102" s="64"/>
      <c r="CGB102" s="64"/>
      <c r="CGC102" s="64"/>
      <c r="CGD102" s="64"/>
      <c r="CGE102" s="64"/>
      <c r="CGF102" s="64"/>
      <c r="CGG102" s="64"/>
      <c r="CGH102" s="64"/>
      <c r="CGI102" s="64"/>
      <c r="CGJ102" s="64"/>
      <c r="CGK102" s="64"/>
      <c r="CGL102" s="64"/>
      <c r="CGM102" s="64"/>
      <c r="CGN102" s="64"/>
      <c r="CGO102" s="64"/>
      <c r="CGP102" s="64"/>
      <c r="CGQ102" s="64"/>
      <c r="CGR102" s="64"/>
      <c r="CGS102" s="64"/>
      <c r="CGT102" s="64"/>
      <c r="CGU102" s="64"/>
      <c r="CGV102" s="64"/>
      <c r="CHC102" s="64"/>
      <c r="CHD102" s="64"/>
      <c r="CHE102" s="64"/>
      <c r="CHF102" s="64"/>
      <c r="CHG102" s="64"/>
      <c r="CHH102" s="64"/>
      <c r="CHI102" s="64"/>
      <c r="CHJ102" s="64"/>
      <c r="CHK102" s="64"/>
      <c r="CHL102" s="64"/>
      <c r="CHM102" s="64"/>
      <c r="CHN102" s="64"/>
      <c r="CHO102" s="64"/>
      <c r="CHP102" s="64"/>
      <c r="CHQ102" s="64"/>
      <c r="CHR102" s="64"/>
      <c r="CHS102" s="64"/>
      <c r="CHT102" s="64"/>
      <c r="CHU102" s="64"/>
      <c r="CHV102" s="64"/>
      <c r="CHW102" s="64"/>
      <c r="CHX102" s="64"/>
      <c r="CHY102" s="64"/>
      <c r="CHZ102" s="64"/>
      <c r="CIA102" s="64"/>
      <c r="CIB102" s="64"/>
      <c r="CIC102" s="64"/>
      <c r="CID102" s="64"/>
      <c r="CIE102" s="64"/>
      <c r="CIF102" s="64"/>
      <c r="CIG102" s="64"/>
      <c r="CIH102" s="64"/>
      <c r="CII102" s="64"/>
      <c r="CIJ102" s="64"/>
      <c r="CIK102" s="64"/>
      <c r="CIL102" s="64"/>
      <c r="CIM102" s="64"/>
      <c r="CIN102" s="64"/>
      <c r="CIO102" s="64"/>
      <c r="CIP102" s="64"/>
      <c r="CIQ102" s="64"/>
      <c r="CIR102" s="64"/>
      <c r="CIS102" s="64"/>
      <c r="CIT102" s="64"/>
      <c r="CIU102" s="64"/>
      <c r="CIV102" s="64"/>
      <c r="CIW102" s="64"/>
      <c r="CIX102" s="64"/>
      <c r="CIY102" s="64"/>
      <c r="CIZ102" s="64"/>
      <c r="CJA102" s="64"/>
      <c r="CJB102" s="64"/>
      <c r="CJC102" s="64"/>
      <c r="CJD102" s="64"/>
      <c r="CJE102" s="64"/>
      <c r="CJF102" s="64"/>
      <c r="CJG102" s="64"/>
      <c r="CJH102" s="64"/>
      <c r="CJI102" s="64"/>
      <c r="CJJ102" s="64"/>
      <c r="CJK102" s="64"/>
      <c r="CJL102" s="64"/>
      <c r="CJM102" s="64"/>
      <c r="CJN102" s="64"/>
      <c r="CJO102" s="64"/>
      <c r="CJP102" s="64"/>
      <c r="CJQ102" s="64"/>
      <c r="CJR102" s="64"/>
      <c r="CJS102" s="64"/>
      <c r="CJT102" s="64"/>
      <c r="CJU102" s="64"/>
      <c r="CJV102" s="64"/>
      <c r="CJW102" s="64"/>
      <c r="CJX102" s="64"/>
      <c r="CJY102" s="64"/>
      <c r="CJZ102" s="64"/>
      <c r="CKA102" s="64"/>
      <c r="CKB102" s="64"/>
      <c r="CKC102" s="64"/>
      <c r="CKD102" s="64"/>
      <c r="CKE102" s="64"/>
      <c r="CKF102" s="64"/>
      <c r="CKG102" s="64"/>
      <c r="CKH102" s="64"/>
      <c r="CKI102" s="64"/>
      <c r="CKJ102" s="64"/>
      <c r="CKK102" s="64"/>
      <c r="CKL102" s="64"/>
      <c r="CKM102" s="64"/>
      <c r="CKN102" s="64"/>
      <c r="CKO102" s="64"/>
      <c r="CKP102" s="64"/>
      <c r="CKQ102" s="64"/>
      <c r="CKR102" s="64"/>
      <c r="CKS102" s="64"/>
      <c r="CKT102" s="64"/>
      <c r="CKU102" s="64"/>
      <c r="CKV102" s="64"/>
      <c r="CKW102" s="64"/>
      <c r="CKX102" s="64"/>
      <c r="CKY102" s="64"/>
      <c r="CKZ102" s="64"/>
      <c r="CLA102" s="64"/>
      <c r="CLB102" s="64"/>
      <c r="CLC102" s="64"/>
      <c r="CLD102" s="64"/>
      <c r="CLE102" s="64"/>
      <c r="CLF102" s="64"/>
      <c r="CLG102" s="64"/>
      <c r="CLH102" s="64"/>
      <c r="CLI102" s="64"/>
      <c r="CLJ102" s="64"/>
      <c r="CLK102" s="64"/>
      <c r="CLL102" s="64"/>
      <c r="CLM102" s="64"/>
      <c r="CLN102" s="64"/>
      <c r="CLO102" s="64"/>
      <c r="CLP102" s="64"/>
      <c r="CLQ102" s="64"/>
      <c r="CLR102" s="64"/>
      <c r="CLS102" s="64"/>
      <c r="CLT102" s="64"/>
      <c r="CLU102" s="64"/>
      <c r="CLV102" s="64"/>
      <c r="CLW102" s="64"/>
      <c r="CLX102" s="64"/>
      <c r="CLY102" s="64"/>
      <c r="CLZ102" s="64"/>
      <c r="CMA102" s="64"/>
      <c r="CMB102" s="64"/>
      <c r="CMC102" s="64"/>
      <c r="CMD102" s="64"/>
      <c r="CME102" s="64"/>
      <c r="CMF102" s="64"/>
      <c r="CMG102" s="64"/>
      <c r="CMH102" s="64"/>
      <c r="CMI102" s="64"/>
      <c r="CMJ102" s="64"/>
      <c r="CMK102" s="64"/>
      <c r="CML102" s="64"/>
      <c r="CMM102" s="64"/>
      <c r="CMN102" s="64"/>
      <c r="CMO102" s="64"/>
      <c r="CMP102" s="64"/>
      <c r="CMQ102" s="64"/>
      <c r="CMR102" s="64"/>
      <c r="CMS102" s="64"/>
      <c r="CMT102" s="64"/>
      <c r="CMU102" s="64"/>
      <c r="CMV102" s="64"/>
      <c r="CMW102" s="64"/>
      <c r="CMX102" s="64"/>
      <c r="CMY102" s="64"/>
      <c r="CMZ102" s="64"/>
      <c r="CNA102" s="64"/>
      <c r="CNB102" s="64"/>
      <c r="CNC102" s="64"/>
      <c r="CND102" s="64"/>
      <c r="CNE102" s="64"/>
      <c r="CNF102" s="64"/>
      <c r="CNG102" s="64"/>
      <c r="CNH102" s="64"/>
      <c r="CNI102" s="64"/>
      <c r="CNJ102" s="64"/>
      <c r="CNK102" s="64"/>
      <c r="CNL102" s="64"/>
      <c r="CNM102" s="64"/>
      <c r="CNN102" s="64"/>
      <c r="CNO102" s="64"/>
      <c r="CNP102" s="64"/>
      <c r="CNQ102" s="64"/>
      <c r="CNR102" s="64"/>
      <c r="CNS102" s="64"/>
      <c r="CNT102" s="64"/>
      <c r="CNU102" s="64"/>
      <c r="CNV102" s="64"/>
      <c r="CNW102" s="64"/>
      <c r="CNX102" s="64"/>
      <c r="CNY102" s="64"/>
      <c r="CNZ102" s="64"/>
      <c r="COA102" s="64"/>
      <c r="COB102" s="64"/>
      <c r="COC102" s="64"/>
      <c r="COD102" s="64"/>
      <c r="COE102" s="64"/>
      <c r="COF102" s="64"/>
      <c r="COG102" s="64"/>
      <c r="COH102" s="64"/>
      <c r="COI102" s="64"/>
      <c r="COJ102" s="64"/>
      <c r="COK102" s="64"/>
      <c r="COL102" s="64"/>
      <c r="COM102" s="64"/>
      <c r="CON102" s="64"/>
      <c r="COO102" s="64"/>
      <c r="COP102" s="64"/>
      <c r="COQ102" s="64"/>
      <c r="COR102" s="64"/>
      <c r="COS102" s="64"/>
      <c r="COT102" s="64"/>
      <c r="COU102" s="64"/>
      <c r="COV102" s="64"/>
      <c r="COW102" s="64"/>
      <c r="COX102" s="64"/>
      <c r="COY102" s="64"/>
      <c r="COZ102" s="64"/>
      <c r="CPA102" s="64"/>
      <c r="CPB102" s="64"/>
      <c r="CPC102" s="64"/>
      <c r="CPD102" s="64"/>
      <c r="CPE102" s="64"/>
      <c r="CPF102" s="64"/>
      <c r="CPG102" s="64"/>
      <c r="CPH102" s="64"/>
      <c r="CPI102" s="64"/>
      <c r="CPJ102" s="64"/>
      <c r="CPK102" s="64"/>
      <c r="CPL102" s="64"/>
      <c r="CPM102" s="64"/>
      <c r="CPN102" s="64"/>
      <c r="CPO102" s="64"/>
      <c r="CPP102" s="64"/>
      <c r="CPQ102" s="64"/>
      <c r="CPR102" s="64"/>
      <c r="CPS102" s="64"/>
      <c r="CPT102" s="64"/>
      <c r="CPU102" s="64"/>
      <c r="CPV102" s="64"/>
      <c r="CPW102" s="64"/>
      <c r="CPX102" s="64"/>
      <c r="CPY102" s="64"/>
      <c r="CPZ102" s="64"/>
      <c r="CQA102" s="64"/>
      <c r="CQB102" s="64"/>
      <c r="CQC102" s="64"/>
      <c r="CQD102" s="64"/>
      <c r="CQE102" s="64"/>
      <c r="CQF102" s="64"/>
      <c r="CQG102" s="64"/>
      <c r="CQH102" s="64"/>
      <c r="CQI102" s="64"/>
      <c r="CQJ102" s="64"/>
      <c r="CQK102" s="64"/>
      <c r="CQL102" s="64"/>
      <c r="CQM102" s="64"/>
      <c r="CQN102" s="64"/>
      <c r="CQO102" s="64"/>
      <c r="CQP102" s="64"/>
      <c r="CQQ102" s="64"/>
      <c r="CQR102" s="64"/>
      <c r="CQY102" s="64"/>
      <c r="CQZ102" s="64"/>
      <c r="CRA102" s="64"/>
      <c r="CRB102" s="64"/>
      <c r="CRC102" s="64"/>
      <c r="CRD102" s="64"/>
      <c r="CRE102" s="64"/>
      <c r="CRF102" s="64"/>
      <c r="CRG102" s="64"/>
      <c r="CRH102" s="64"/>
      <c r="CRI102" s="64"/>
      <c r="CRJ102" s="64"/>
      <c r="CRK102" s="64"/>
      <c r="CRL102" s="64"/>
      <c r="CRM102" s="64"/>
      <c r="CRN102" s="64"/>
      <c r="CRO102" s="64"/>
      <c r="CRP102" s="64"/>
      <c r="CRQ102" s="64"/>
      <c r="CRR102" s="64"/>
      <c r="CRS102" s="64"/>
      <c r="CRT102" s="64"/>
      <c r="CRU102" s="64"/>
      <c r="CRV102" s="64"/>
      <c r="CRW102" s="64"/>
      <c r="CRX102" s="64"/>
      <c r="CRY102" s="64"/>
      <c r="CRZ102" s="64"/>
      <c r="CSA102" s="64"/>
      <c r="CSB102" s="64"/>
      <c r="CSC102" s="64"/>
      <c r="CSD102" s="64"/>
      <c r="CSE102" s="64"/>
      <c r="CSF102" s="64"/>
      <c r="CSG102" s="64"/>
      <c r="CSH102" s="64"/>
      <c r="CSI102" s="64"/>
      <c r="CSJ102" s="64"/>
      <c r="CSK102" s="64"/>
      <c r="CSL102" s="64"/>
      <c r="CSM102" s="64"/>
      <c r="CSN102" s="64"/>
      <c r="CSO102" s="64"/>
      <c r="CSP102" s="64"/>
      <c r="CSQ102" s="64"/>
      <c r="CSR102" s="64"/>
      <c r="CSS102" s="64"/>
      <c r="CST102" s="64"/>
      <c r="CSU102" s="64"/>
      <c r="CSV102" s="64"/>
      <c r="CSW102" s="64"/>
      <c r="CSX102" s="64"/>
      <c r="CSY102" s="64"/>
      <c r="CSZ102" s="64"/>
      <c r="CTA102" s="64"/>
      <c r="CTB102" s="64"/>
      <c r="CTC102" s="64"/>
      <c r="CTD102" s="64"/>
      <c r="CTE102" s="64"/>
      <c r="CTF102" s="64"/>
      <c r="CTG102" s="64"/>
      <c r="CTH102" s="64"/>
      <c r="CTI102" s="64"/>
      <c r="CTJ102" s="64"/>
      <c r="CTK102" s="64"/>
      <c r="CTL102" s="64"/>
      <c r="CTM102" s="64"/>
      <c r="CTN102" s="64"/>
      <c r="CTO102" s="64"/>
      <c r="CTP102" s="64"/>
      <c r="CTQ102" s="64"/>
      <c r="CTR102" s="64"/>
      <c r="CTS102" s="64"/>
      <c r="CTT102" s="64"/>
      <c r="CTU102" s="64"/>
      <c r="CTV102" s="64"/>
      <c r="CTW102" s="64"/>
      <c r="CTX102" s="64"/>
      <c r="CTY102" s="64"/>
      <c r="CTZ102" s="64"/>
      <c r="CUA102" s="64"/>
      <c r="CUB102" s="64"/>
      <c r="CUC102" s="64"/>
      <c r="CUD102" s="64"/>
      <c r="CUE102" s="64"/>
      <c r="CUF102" s="64"/>
      <c r="CUG102" s="64"/>
      <c r="CUH102" s="64"/>
      <c r="CUI102" s="64"/>
      <c r="CUJ102" s="64"/>
      <c r="CUK102" s="64"/>
      <c r="CUL102" s="64"/>
      <c r="CUM102" s="64"/>
      <c r="CUN102" s="64"/>
      <c r="CUO102" s="64"/>
      <c r="CUP102" s="64"/>
      <c r="CUQ102" s="64"/>
      <c r="CUR102" s="64"/>
      <c r="CUS102" s="64"/>
      <c r="CUT102" s="64"/>
      <c r="CUU102" s="64"/>
      <c r="CUV102" s="64"/>
      <c r="CUW102" s="64"/>
      <c r="CUX102" s="64"/>
      <c r="CUY102" s="64"/>
      <c r="CUZ102" s="64"/>
      <c r="CVA102" s="64"/>
      <c r="CVB102" s="64"/>
      <c r="CVC102" s="64"/>
      <c r="CVD102" s="64"/>
      <c r="CVE102" s="64"/>
      <c r="CVF102" s="64"/>
      <c r="CVG102" s="64"/>
      <c r="CVH102" s="64"/>
      <c r="CVI102" s="64"/>
      <c r="CVJ102" s="64"/>
      <c r="CVK102" s="64"/>
      <c r="CVL102" s="64"/>
      <c r="CVM102" s="64"/>
      <c r="CVN102" s="64"/>
      <c r="CVO102" s="64"/>
      <c r="CVP102" s="64"/>
      <c r="CVQ102" s="64"/>
      <c r="CVR102" s="64"/>
      <c r="CVS102" s="64"/>
      <c r="CVT102" s="64"/>
      <c r="CVU102" s="64"/>
      <c r="CVV102" s="64"/>
      <c r="CVW102" s="64"/>
      <c r="CVX102" s="64"/>
      <c r="CVY102" s="64"/>
      <c r="CVZ102" s="64"/>
      <c r="CWA102" s="64"/>
      <c r="CWB102" s="64"/>
      <c r="CWC102" s="64"/>
      <c r="CWD102" s="64"/>
      <c r="CWE102" s="64"/>
      <c r="CWF102" s="64"/>
      <c r="CWG102" s="64"/>
      <c r="CWH102" s="64"/>
      <c r="CWI102" s="64"/>
      <c r="CWJ102" s="64"/>
      <c r="CWK102" s="64"/>
      <c r="CWL102" s="64"/>
      <c r="CWM102" s="64"/>
      <c r="CWN102" s="64"/>
      <c r="CWO102" s="64"/>
      <c r="CWP102" s="64"/>
      <c r="CWQ102" s="64"/>
      <c r="CWR102" s="64"/>
      <c r="CWS102" s="64"/>
      <c r="CWT102" s="64"/>
      <c r="CWU102" s="64"/>
      <c r="CWV102" s="64"/>
      <c r="CWW102" s="64"/>
      <c r="CWX102" s="64"/>
      <c r="CWY102" s="64"/>
      <c r="CWZ102" s="64"/>
      <c r="CXA102" s="64"/>
      <c r="CXB102" s="64"/>
      <c r="CXC102" s="64"/>
      <c r="CXD102" s="64"/>
      <c r="CXE102" s="64"/>
      <c r="CXF102" s="64"/>
      <c r="CXG102" s="64"/>
      <c r="CXH102" s="64"/>
      <c r="CXI102" s="64"/>
      <c r="CXJ102" s="64"/>
      <c r="CXK102" s="64"/>
      <c r="CXL102" s="64"/>
      <c r="CXM102" s="64"/>
      <c r="CXN102" s="64"/>
      <c r="CXO102" s="64"/>
      <c r="CXP102" s="64"/>
      <c r="CXQ102" s="64"/>
      <c r="CXR102" s="64"/>
      <c r="CXS102" s="64"/>
      <c r="CXT102" s="64"/>
      <c r="CXU102" s="64"/>
      <c r="CXV102" s="64"/>
      <c r="CXW102" s="64"/>
      <c r="CXX102" s="64"/>
      <c r="CXY102" s="64"/>
      <c r="CXZ102" s="64"/>
      <c r="CYA102" s="64"/>
      <c r="CYB102" s="64"/>
      <c r="CYC102" s="64"/>
      <c r="CYD102" s="64"/>
      <c r="CYE102" s="64"/>
      <c r="CYF102" s="64"/>
      <c r="CYG102" s="64"/>
      <c r="CYH102" s="64"/>
      <c r="CYI102" s="64"/>
      <c r="CYJ102" s="64"/>
      <c r="CYK102" s="64"/>
      <c r="CYL102" s="64"/>
      <c r="CYM102" s="64"/>
      <c r="CYN102" s="64"/>
      <c r="CYO102" s="64"/>
      <c r="CYP102" s="64"/>
      <c r="CYQ102" s="64"/>
      <c r="CYR102" s="64"/>
      <c r="CYS102" s="64"/>
      <c r="CYT102" s="64"/>
      <c r="CYU102" s="64"/>
      <c r="CYV102" s="64"/>
      <c r="CYW102" s="64"/>
      <c r="CYX102" s="64"/>
      <c r="CYY102" s="64"/>
      <c r="CYZ102" s="64"/>
      <c r="CZA102" s="64"/>
      <c r="CZB102" s="64"/>
      <c r="CZC102" s="64"/>
      <c r="CZD102" s="64"/>
      <c r="CZE102" s="64"/>
      <c r="CZF102" s="64"/>
      <c r="CZG102" s="64"/>
      <c r="CZH102" s="64"/>
      <c r="CZI102" s="64"/>
      <c r="CZJ102" s="64"/>
      <c r="CZK102" s="64"/>
      <c r="CZL102" s="64"/>
      <c r="CZM102" s="64"/>
      <c r="CZN102" s="64"/>
      <c r="CZO102" s="64"/>
      <c r="CZP102" s="64"/>
      <c r="CZQ102" s="64"/>
      <c r="CZR102" s="64"/>
      <c r="CZS102" s="64"/>
      <c r="CZT102" s="64"/>
      <c r="CZU102" s="64"/>
      <c r="CZV102" s="64"/>
      <c r="CZW102" s="64"/>
      <c r="CZX102" s="64"/>
      <c r="CZY102" s="64"/>
      <c r="CZZ102" s="64"/>
      <c r="DAA102" s="64"/>
      <c r="DAB102" s="64"/>
      <c r="DAC102" s="64"/>
      <c r="DAD102" s="64"/>
      <c r="DAE102" s="64"/>
      <c r="DAF102" s="64"/>
      <c r="DAG102" s="64"/>
      <c r="DAH102" s="64"/>
      <c r="DAI102" s="64"/>
      <c r="DAJ102" s="64"/>
      <c r="DAK102" s="64"/>
      <c r="DAL102" s="64"/>
      <c r="DAM102" s="64"/>
      <c r="DAN102" s="64"/>
      <c r="DAU102" s="64"/>
      <c r="DAV102" s="64"/>
      <c r="DAW102" s="64"/>
      <c r="DAX102" s="64"/>
      <c r="DAY102" s="64"/>
      <c r="DAZ102" s="64"/>
      <c r="DBA102" s="64"/>
      <c r="DBB102" s="64"/>
      <c r="DBC102" s="64"/>
      <c r="DBD102" s="64"/>
      <c r="DBE102" s="64"/>
      <c r="DBF102" s="64"/>
      <c r="DBG102" s="64"/>
      <c r="DBH102" s="64"/>
      <c r="DBI102" s="64"/>
      <c r="DBJ102" s="64"/>
      <c r="DBK102" s="64"/>
      <c r="DBL102" s="64"/>
      <c r="DBM102" s="64"/>
      <c r="DBN102" s="64"/>
      <c r="DBO102" s="64"/>
      <c r="DBP102" s="64"/>
      <c r="DBQ102" s="64"/>
      <c r="DBR102" s="64"/>
      <c r="DBS102" s="64"/>
      <c r="DBT102" s="64"/>
      <c r="DBU102" s="64"/>
      <c r="DBV102" s="64"/>
      <c r="DBW102" s="64"/>
      <c r="DBX102" s="64"/>
      <c r="DBY102" s="64"/>
      <c r="DBZ102" s="64"/>
      <c r="DCA102" s="64"/>
      <c r="DCB102" s="64"/>
      <c r="DCC102" s="64"/>
      <c r="DCD102" s="64"/>
      <c r="DCE102" s="64"/>
      <c r="DCF102" s="64"/>
      <c r="DCG102" s="64"/>
      <c r="DCH102" s="64"/>
      <c r="DCI102" s="64"/>
      <c r="DCJ102" s="64"/>
      <c r="DCK102" s="64"/>
      <c r="DCL102" s="64"/>
      <c r="DCM102" s="64"/>
      <c r="DCN102" s="64"/>
      <c r="DCO102" s="64"/>
      <c r="DCP102" s="64"/>
      <c r="DCQ102" s="64"/>
      <c r="DCR102" s="64"/>
      <c r="DCS102" s="64"/>
      <c r="DCT102" s="64"/>
      <c r="DCU102" s="64"/>
      <c r="DCV102" s="64"/>
      <c r="DCW102" s="64"/>
      <c r="DCX102" s="64"/>
      <c r="DCY102" s="64"/>
      <c r="DCZ102" s="64"/>
      <c r="DDA102" s="64"/>
      <c r="DDB102" s="64"/>
      <c r="DDC102" s="64"/>
      <c r="DDD102" s="64"/>
      <c r="DDE102" s="64"/>
      <c r="DDF102" s="64"/>
      <c r="DDG102" s="64"/>
      <c r="DDH102" s="64"/>
      <c r="DDI102" s="64"/>
      <c r="DDJ102" s="64"/>
      <c r="DDK102" s="64"/>
      <c r="DDL102" s="64"/>
      <c r="DDM102" s="64"/>
      <c r="DDN102" s="64"/>
      <c r="DDO102" s="64"/>
      <c r="DDP102" s="64"/>
      <c r="DDQ102" s="64"/>
      <c r="DDR102" s="64"/>
      <c r="DDS102" s="64"/>
      <c r="DDT102" s="64"/>
      <c r="DDU102" s="64"/>
      <c r="DDV102" s="64"/>
      <c r="DDW102" s="64"/>
      <c r="DDX102" s="64"/>
      <c r="DDY102" s="64"/>
      <c r="DDZ102" s="64"/>
      <c r="DEA102" s="64"/>
      <c r="DEB102" s="64"/>
      <c r="DEC102" s="64"/>
      <c r="DED102" s="64"/>
      <c r="DEE102" s="64"/>
      <c r="DEF102" s="64"/>
      <c r="DEG102" s="64"/>
      <c r="DEH102" s="64"/>
      <c r="DEI102" s="64"/>
      <c r="DEJ102" s="64"/>
      <c r="DEK102" s="64"/>
      <c r="DEL102" s="64"/>
      <c r="DEM102" s="64"/>
      <c r="DEN102" s="64"/>
      <c r="DEO102" s="64"/>
      <c r="DEP102" s="64"/>
      <c r="DEQ102" s="64"/>
      <c r="DER102" s="64"/>
      <c r="DES102" s="64"/>
      <c r="DET102" s="64"/>
      <c r="DEU102" s="64"/>
      <c r="DEV102" s="64"/>
      <c r="DEW102" s="64"/>
      <c r="DEX102" s="64"/>
      <c r="DEY102" s="64"/>
      <c r="DEZ102" s="64"/>
      <c r="DFA102" s="64"/>
      <c r="DFB102" s="64"/>
      <c r="DFC102" s="64"/>
      <c r="DFD102" s="64"/>
      <c r="DFE102" s="64"/>
      <c r="DFF102" s="64"/>
      <c r="DFG102" s="64"/>
      <c r="DFH102" s="64"/>
      <c r="DFI102" s="64"/>
      <c r="DFJ102" s="64"/>
      <c r="DFK102" s="64"/>
      <c r="DFL102" s="64"/>
      <c r="DFM102" s="64"/>
      <c r="DFN102" s="64"/>
      <c r="DFO102" s="64"/>
      <c r="DFP102" s="64"/>
      <c r="DFQ102" s="64"/>
      <c r="DFR102" s="64"/>
      <c r="DFS102" s="64"/>
      <c r="DFT102" s="64"/>
      <c r="DFU102" s="64"/>
      <c r="DFV102" s="64"/>
      <c r="DFW102" s="64"/>
      <c r="DFX102" s="64"/>
      <c r="DFY102" s="64"/>
      <c r="DFZ102" s="64"/>
      <c r="DGA102" s="64"/>
      <c r="DGB102" s="64"/>
      <c r="DGC102" s="64"/>
      <c r="DGD102" s="64"/>
      <c r="DGE102" s="64"/>
      <c r="DGF102" s="64"/>
      <c r="DGG102" s="64"/>
      <c r="DGH102" s="64"/>
      <c r="DGI102" s="64"/>
      <c r="DGJ102" s="64"/>
      <c r="DGK102" s="64"/>
      <c r="DGL102" s="64"/>
      <c r="DGM102" s="64"/>
      <c r="DGN102" s="64"/>
      <c r="DGO102" s="64"/>
      <c r="DGP102" s="64"/>
      <c r="DGQ102" s="64"/>
      <c r="DGR102" s="64"/>
      <c r="DGS102" s="64"/>
      <c r="DGT102" s="64"/>
      <c r="DGU102" s="64"/>
      <c r="DGV102" s="64"/>
      <c r="DGW102" s="64"/>
      <c r="DGX102" s="64"/>
      <c r="DGY102" s="64"/>
      <c r="DGZ102" s="64"/>
      <c r="DHA102" s="64"/>
      <c r="DHB102" s="64"/>
      <c r="DHC102" s="64"/>
      <c r="DHD102" s="64"/>
      <c r="DHE102" s="64"/>
      <c r="DHF102" s="64"/>
      <c r="DHG102" s="64"/>
      <c r="DHH102" s="64"/>
      <c r="DHI102" s="64"/>
      <c r="DHJ102" s="64"/>
      <c r="DHK102" s="64"/>
      <c r="DHL102" s="64"/>
      <c r="DHM102" s="64"/>
      <c r="DHN102" s="64"/>
      <c r="DHO102" s="64"/>
      <c r="DHP102" s="64"/>
      <c r="DHQ102" s="64"/>
      <c r="DHR102" s="64"/>
      <c r="DHS102" s="64"/>
      <c r="DHT102" s="64"/>
      <c r="DHU102" s="64"/>
      <c r="DHV102" s="64"/>
      <c r="DHW102" s="64"/>
      <c r="DHX102" s="64"/>
      <c r="DHY102" s="64"/>
      <c r="DHZ102" s="64"/>
      <c r="DIA102" s="64"/>
      <c r="DIB102" s="64"/>
      <c r="DIC102" s="64"/>
      <c r="DID102" s="64"/>
      <c r="DIE102" s="64"/>
      <c r="DIF102" s="64"/>
      <c r="DIG102" s="64"/>
      <c r="DIH102" s="64"/>
      <c r="DII102" s="64"/>
      <c r="DIJ102" s="64"/>
      <c r="DIK102" s="64"/>
      <c r="DIL102" s="64"/>
      <c r="DIM102" s="64"/>
      <c r="DIN102" s="64"/>
      <c r="DIO102" s="64"/>
      <c r="DIP102" s="64"/>
      <c r="DIQ102" s="64"/>
      <c r="DIR102" s="64"/>
      <c r="DIS102" s="64"/>
      <c r="DIT102" s="64"/>
      <c r="DIU102" s="64"/>
      <c r="DIV102" s="64"/>
      <c r="DIW102" s="64"/>
      <c r="DIX102" s="64"/>
      <c r="DIY102" s="64"/>
      <c r="DIZ102" s="64"/>
      <c r="DJA102" s="64"/>
      <c r="DJB102" s="64"/>
      <c r="DJC102" s="64"/>
      <c r="DJD102" s="64"/>
      <c r="DJE102" s="64"/>
      <c r="DJF102" s="64"/>
      <c r="DJG102" s="64"/>
      <c r="DJH102" s="64"/>
      <c r="DJI102" s="64"/>
      <c r="DJJ102" s="64"/>
      <c r="DJK102" s="64"/>
      <c r="DJL102" s="64"/>
      <c r="DJM102" s="64"/>
      <c r="DJN102" s="64"/>
      <c r="DJO102" s="64"/>
      <c r="DJP102" s="64"/>
      <c r="DJQ102" s="64"/>
      <c r="DJR102" s="64"/>
      <c r="DJS102" s="64"/>
      <c r="DJT102" s="64"/>
      <c r="DJU102" s="64"/>
      <c r="DJV102" s="64"/>
      <c r="DJW102" s="64"/>
      <c r="DJX102" s="64"/>
      <c r="DJY102" s="64"/>
      <c r="DJZ102" s="64"/>
      <c r="DKA102" s="64"/>
      <c r="DKB102" s="64"/>
      <c r="DKC102" s="64"/>
      <c r="DKD102" s="64"/>
      <c r="DKE102" s="64"/>
      <c r="DKF102" s="64"/>
      <c r="DKG102" s="64"/>
      <c r="DKH102" s="64"/>
      <c r="DKI102" s="64"/>
      <c r="DKJ102" s="64"/>
      <c r="DKQ102" s="64"/>
      <c r="DKR102" s="64"/>
      <c r="DKS102" s="64"/>
      <c r="DKT102" s="64"/>
      <c r="DKU102" s="64"/>
      <c r="DKV102" s="64"/>
      <c r="DKW102" s="64"/>
      <c r="DKX102" s="64"/>
      <c r="DKY102" s="64"/>
      <c r="DKZ102" s="64"/>
      <c r="DLA102" s="64"/>
      <c r="DLB102" s="64"/>
      <c r="DLC102" s="64"/>
      <c r="DLD102" s="64"/>
      <c r="DLE102" s="64"/>
      <c r="DLF102" s="64"/>
      <c r="DLG102" s="64"/>
      <c r="DLH102" s="64"/>
      <c r="DLI102" s="64"/>
      <c r="DLJ102" s="64"/>
      <c r="DLK102" s="64"/>
      <c r="DLL102" s="64"/>
      <c r="DLM102" s="64"/>
      <c r="DLN102" s="64"/>
      <c r="DLO102" s="64"/>
      <c r="DLP102" s="64"/>
      <c r="DLQ102" s="64"/>
      <c r="DLR102" s="64"/>
      <c r="DLS102" s="64"/>
      <c r="DLT102" s="64"/>
      <c r="DLU102" s="64"/>
      <c r="DLV102" s="64"/>
      <c r="DLW102" s="64"/>
      <c r="DLX102" s="64"/>
      <c r="DLY102" s="64"/>
      <c r="DLZ102" s="64"/>
      <c r="DMA102" s="64"/>
      <c r="DMB102" s="64"/>
      <c r="DMC102" s="64"/>
      <c r="DMD102" s="64"/>
      <c r="DME102" s="64"/>
      <c r="DMF102" s="64"/>
      <c r="DMG102" s="64"/>
      <c r="DMH102" s="64"/>
      <c r="DMI102" s="64"/>
      <c r="DMJ102" s="64"/>
      <c r="DMK102" s="64"/>
      <c r="DML102" s="64"/>
      <c r="DMM102" s="64"/>
      <c r="DMN102" s="64"/>
      <c r="DMO102" s="64"/>
      <c r="DMP102" s="64"/>
      <c r="DMQ102" s="64"/>
      <c r="DMR102" s="64"/>
      <c r="DMS102" s="64"/>
      <c r="DMT102" s="64"/>
      <c r="DMU102" s="64"/>
      <c r="DMV102" s="64"/>
      <c r="DMW102" s="64"/>
      <c r="DMX102" s="64"/>
      <c r="DMY102" s="64"/>
      <c r="DMZ102" s="64"/>
      <c r="DNA102" s="64"/>
      <c r="DNB102" s="64"/>
      <c r="DNC102" s="64"/>
      <c r="DND102" s="64"/>
      <c r="DNE102" s="64"/>
      <c r="DNF102" s="64"/>
      <c r="DNG102" s="64"/>
      <c r="DNH102" s="64"/>
      <c r="DNI102" s="64"/>
      <c r="DNJ102" s="64"/>
      <c r="DNK102" s="64"/>
      <c r="DNL102" s="64"/>
      <c r="DNM102" s="64"/>
      <c r="DNN102" s="64"/>
      <c r="DNO102" s="64"/>
      <c r="DNP102" s="64"/>
      <c r="DNQ102" s="64"/>
      <c r="DNR102" s="64"/>
      <c r="DNS102" s="64"/>
      <c r="DNT102" s="64"/>
      <c r="DNU102" s="64"/>
      <c r="DNV102" s="64"/>
      <c r="DNW102" s="64"/>
      <c r="DNX102" s="64"/>
      <c r="DNY102" s="64"/>
      <c r="DNZ102" s="64"/>
      <c r="DOA102" s="64"/>
      <c r="DOB102" s="64"/>
      <c r="DOC102" s="64"/>
      <c r="DOD102" s="64"/>
      <c r="DOE102" s="64"/>
      <c r="DOF102" s="64"/>
      <c r="DOG102" s="64"/>
      <c r="DOH102" s="64"/>
      <c r="DOI102" s="64"/>
      <c r="DOJ102" s="64"/>
      <c r="DOK102" s="64"/>
      <c r="DOL102" s="64"/>
      <c r="DOM102" s="64"/>
      <c r="DON102" s="64"/>
      <c r="DOO102" s="64"/>
      <c r="DOP102" s="64"/>
      <c r="DOQ102" s="64"/>
      <c r="DOR102" s="64"/>
      <c r="DOS102" s="64"/>
      <c r="DOT102" s="64"/>
      <c r="DOU102" s="64"/>
      <c r="DOV102" s="64"/>
      <c r="DOW102" s="64"/>
      <c r="DOX102" s="64"/>
      <c r="DOY102" s="64"/>
      <c r="DOZ102" s="64"/>
      <c r="DPA102" s="64"/>
      <c r="DPB102" s="64"/>
      <c r="DPC102" s="64"/>
      <c r="DPD102" s="64"/>
      <c r="DPE102" s="64"/>
      <c r="DPF102" s="64"/>
      <c r="DPG102" s="64"/>
      <c r="DPH102" s="64"/>
      <c r="DPI102" s="64"/>
      <c r="DPJ102" s="64"/>
      <c r="DPK102" s="64"/>
      <c r="DPL102" s="64"/>
      <c r="DPM102" s="64"/>
      <c r="DPN102" s="64"/>
      <c r="DPO102" s="64"/>
      <c r="DPP102" s="64"/>
      <c r="DPQ102" s="64"/>
      <c r="DPR102" s="64"/>
      <c r="DPS102" s="64"/>
      <c r="DPT102" s="64"/>
      <c r="DPU102" s="64"/>
      <c r="DPV102" s="64"/>
      <c r="DPW102" s="64"/>
      <c r="DPX102" s="64"/>
      <c r="DPY102" s="64"/>
      <c r="DPZ102" s="64"/>
      <c r="DQA102" s="64"/>
      <c r="DQB102" s="64"/>
      <c r="DQC102" s="64"/>
      <c r="DQD102" s="64"/>
      <c r="DQE102" s="64"/>
      <c r="DQF102" s="64"/>
      <c r="DQG102" s="64"/>
      <c r="DQH102" s="64"/>
      <c r="DQI102" s="64"/>
      <c r="DQJ102" s="64"/>
      <c r="DQK102" s="64"/>
      <c r="DQL102" s="64"/>
      <c r="DQM102" s="64"/>
      <c r="DQN102" s="64"/>
      <c r="DQO102" s="64"/>
      <c r="DQP102" s="64"/>
      <c r="DQQ102" s="64"/>
      <c r="DQR102" s="64"/>
      <c r="DQS102" s="64"/>
      <c r="DQT102" s="64"/>
      <c r="DQU102" s="64"/>
      <c r="DQV102" s="64"/>
      <c r="DQW102" s="64"/>
      <c r="DQX102" s="64"/>
      <c r="DQY102" s="64"/>
      <c r="DQZ102" s="64"/>
      <c r="DRA102" s="64"/>
      <c r="DRB102" s="64"/>
      <c r="DRC102" s="64"/>
      <c r="DRD102" s="64"/>
      <c r="DRE102" s="64"/>
      <c r="DRF102" s="64"/>
      <c r="DRG102" s="64"/>
      <c r="DRH102" s="64"/>
      <c r="DRI102" s="64"/>
      <c r="DRJ102" s="64"/>
      <c r="DRK102" s="64"/>
      <c r="DRL102" s="64"/>
      <c r="DRM102" s="64"/>
      <c r="DRN102" s="64"/>
      <c r="DRO102" s="64"/>
      <c r="DRP102" s="64"/>
      <c r="DRQ102" s="64"/>
      <c r="DRR102" s="64"/>
      <c r="DRS102" s="64"/>
      <c r="DRT102" s="64"/>
      <c r="DRU102" s="64"/>
      <c r="DRV102" s="64"/>
      <c r="DRW102" s="64"/>
      <c r="DRX102" s="64"/>
      <c r="DRY102" s="64"/>
      <c r="DRZ102" s="64"/>
      <c r="DSA102" s="64"/>
      <c r="DSB102" s="64"/>
      <c r="DSC102" s="64"/>
      <c r="DSD102" s="64"/>
      <c r="DSE102" s="64"/>
      <c r="DSF102" s="64"/>
      <c r="DSG102" s="64"/>
      <c r="DSH102" s="64"/>
      <c r="DSI102" s="64"/>
      <c r="DSJ102" s="64"/>
      <c r="DSK102" s="64"/>
      <c r="DSL102" s="64"/>
      <c r="DSM102" s="64"/>
      <c r="DSN102" s="64"/>
      <c r="DSO102" s="64"/>
      <c r="DSP102" s="64"/>
      <c r="DSQ102" s="64"/>
      <c r="DSR102" s="64"/>
      <c r="DSS102" s="64"/>
      <c r="DST102" s="64"/>
      <c r="DSU102" s="64"/>
      <c r="DSV102" s="64"/>
      <c r="DSW102" s="64"/>
      <c r="DSX102" s="64"/>
      <c r="DSY102" s="64"/>
      <c r="DSZ102" s="64"/>
      <c r="DTA102" s="64"/>
      <c r="DTB102" s="64"/>
      <c r="DTC102" s="64"/>
      <c r="DTD102" s="64"/>
      <c r="DTE102" s="64"/>
      <c r="DTF102" s="64"/>
      <c r="DTG102" s="64"/>
      <c r="DTH102" s="64"/>
      <c r="DTI102" s="64"/>
      <c r="DTJ102" s="64"/>
      <c r="DTK102" s="64"/>
      <c r="DTL102" s="64"/>
      <c r="DTM102" s="64"/>
      <c r="DTN102" s="64"/>
      <c r="DTO102" s="64"/>
      <c r="DTP102" s="64"/>
      <c r="DTQ102" s="64"/>
      <c r="DTR102" s="64"/>
      <c r="DTS102" s="64"/>
      <c r="DTT102" s="64"/>
      <c r="DTU102" s="64"/>
      <c r="DTV102" s="64"/>
      <c r="DTW102" s="64"/>
      <c r="DTX102" s="64"/>
      <c r="DTY102" s="64"/>
      <c r="DTZ102" s="64"/>
      <c r="DUA102" s="64"/>
      <c r="DUB102" s="64"/>
      <c r="DUC102" s="64"/>
      <c r="DUD102" s="64"/>
      <c r="DUE102" s="64"/>
      <c r="DUF102" s="64"/>
      <c r="DUM102" s="64"/>
      <c r="DUN102" s="64"/>
      <c r="DUO102" s="64"/>
      <c r="DUP102" s="64"/>
      <c r="DUQ102" s="64"/>
      <c r="DUR102" s="64"/>
      <c r="DUS102" s="64"/>
      <c r="DUT102" s="64"/>
      <c r="DUU102" s="64"/>
      <c r="DUV102" s="64"/>
      <c r="DUW102" s="64"/>
      <c r="DUX102" s="64"/>
      <c r="DUY102" s="64"/>
      <c r="DUZ102" s="64"/>
      <c r="DVA102" s="64"/>
      <c r="DVB102" s="64"/>
      <c r="DVC102" s="64"/>
      <c r="DVD102" s="64"/>
      <c r="DVE102" s="64"/>
      <c r="DVF102" s="64"/>
      <c r="DVG102" s="64"/>
      <c r="DVH102" s="64"/>
      <c r="DVI102" s="64"/>
      <c r="DVJ102" s="64"/>
      <c r="DVK102" s="64"/>
      <c r="DVL102" s="64"/>
      <c r="DVM102" s="64"/>
      <c r="DVN102" s="64"/>
      <c r="DVO102" s="64"/>
      <c r="DVP102" s="64"/>
      <c r="DVQ102" s="64"/>
      <c r="DVR102" s="64"/>
      <c r="DVS102" s="64"/>
      <c r="DVT102" s="64"/>
      <c r="DVU102" s="64"/>
      <c r="DVV102" s="64"/>
      <c r="DVW102" s="64"/>
      <c r="DVX102" s="64"/>
      <c r="DVY102" s="64"/>
      <c r="DVZ102" s="64"/>
      <c r="DWA102" s="64"/>
      <c r="DWB102" s="64"/>
      <c r="DWC102" s="64"/>
      <c r="DWD102" s="64"/>
      <c r="DWE102" s="64"/>
      <c r="DWF102" s="64"/>
      <c r="DWG102" s="64"/>
      <c r="DWH102" s="64"/>
      <c r="DWI102" s="64"/>
      <c r="DWJ102" s="64"/>
      <c r="DWK102" s="64"/>
      <c r="DWL102" s="64"/>
      <c r="DWM102" s="64"/>
      <c r="DWN102" s="64"/>
      <c r="DWO102" s="64"/>
      <c r="DWP102" s="64"/>
      <c r="DWQ102" s="64"/>
      <c r="DWR102" s="64"/>
      <c r="DWS102" s="64"/>
      <c r="DWT102" s="64"/>
      <c r="DWU102" s="64"/>
      <c r="DWV102" s="64"/>
      <c r="DWW102" s="64"/>
      <c r="DWX102" s="64"/>
      <c r="DWY102" s="64"/>
      <c r="DWZ102" s="64"/>
      <c r="DXA102" s="64"/>
      <c r="DXB102" s="64"/>
      <c r="DXC102" s="64"/>
      <c r="DXD102" s="64"/>
      <c r="DXE102" s="64"/>
      <c r="DXF102" s="64"/>
      <c r="DXG102" s="64"/>
      <c r="DXH102" s="64"/>
      <c r="DXI102" s="64"/>
      <c r="DXJ102" s="64"/>
      <c r="DXK102" s="64"/>
      <c r="DXL102" s="64"/>
      <c r="DXM102" s="64"/>
      <c r="DXN102" s="64"/>
      <c r="DXO102" s="64"/>
      <c r="DXP102" s="64"/>
      <c r="DXQ102" s="64"/>
      <c r="DXR102" s="64"/>
      <c r="DXS102" s="64"/>
      <c r="DXT102" s="64"/>
      <c r="DXU102" s="64"/>
      <c r="DXV102" s="64"/>
      <c r="DXW102" s="64"/>
      <c r="DXX102" s="64"/>
      <c r="DXY102" s="64"/>
      <c r="DXZ102" s="64"/>
      <c r="DYA102" s="64"/>
      <c r="DYB102" s="64"/>
      <c r="DYC102" s="64"/>
      <c r="DYD102" s="64"/>
      <c r="DYE102" s="64"/>
      <c r="DYF102" s="64"/>
      <c r="DYG102" s="64"/>
      <c r="DYH102" s="64"/>
      <c r="DYI102" s="64"/>
      <c r="DYJ102" s="64"/>
      <c r="DYK102" s="64"/>
      <c r="DYL102" s="64"/>
      <c r="DYM102" s="64"/>
      <c r="DYN102" s="64"/>
      <c r="DYO102" s="64"/>
      <c r="DYP102" s="64"/>
      <c r="DYQ102" s="64"/>
      <c r="DYR102" s="64"/>
      <c r="DYS102" s="64"/>
      <c r="DYT102" s="64"/>
      <c r="DYU102" s="64"/>
      <c r="DYV102" s="64"/>
      <c r="DYW102" s="64"/>
      <c r="DYX102" s="64"/>
      <c r="DYY102" s="64"/>
      <c r="DYZ102" s="64"/>
      <c r="DZA102" s="64"/>
      <c r="DZB102" s="64"/>
      <c r="DZC102" s="64"/>
      <c r="DZD102" s="64"/>
      <c r="DZE102" s="64"/>
      <c r="DZF102" s="64"/>
      <c r="DZG102" s="64"/>
      <c r="DZH102" s="64"/>
      <c r="DZI102" s="64"/>
      <c r="DZJ102" s="64"/>
      <c r="DZK102" s="64"/>
      <c r="DZL102" s="64"/>
      <c r="DZM102" s="64"/>
      <c r="DZN102" s="64"/>
      <c r="DZO102" s="64"/>
      <c r="DZP102" s="64"/>
      <c r="DZQ102" s="64"/>
      <c r="DZR102" s="64"/>
      <c r="DZS102" s="64"/>
      <c r="DZT102" s="64"/>
      <c r="DZU102" s="64"/>
      <c r="DZV102" s="64"/>
      <c r="DZW102" s="64"/>
      <c r="DZX102" s="64"/>
      <c r="DZY102" s="64"/>
      <c r="DZZ102" s="64"/>
      <c r="EAA102" s="64"/>
      <c r="EAB102" s="64"/>
      <c r="EAC102" s="64"/>
      <c r="EAD102" s="64"/>
      <c r="EAE102" s="64"/>
      <c r="EAF102" s="64"/>
      <c r="EAG102" s="64"/>
      <c r="EAH102" s="64"/>
      <c r="EAI102" s="64"/>
      <c r="EAJ102" s="64"/>
      <c r="EAK102" s="64"/>
      <c r="EAL102" s="64"/>
      <c r="EAM102" s="64"/>
      <c r="EAN102" s="64"/>
      <c r="EAO102" s="64"/>
      <c r="EAP102" s="64"/>
      <c r="EAQ102" s="64"/>
      <c r="EAR102" s="64"/>
      <c r="EAS102" s="64"/>
      <c r="EAT102" s="64"/>
      <c r="EAU102" s="64"/>
      <c r="EAV102" s="64"/>
      <c r="EAW102" s="64"/>
      <c r="EAX102" s="64"/>
      <c r="EAY102" s="64"/>
      <c r="EAZ102" s="64"/>
      <c r="EBA102" s="64"/>
      <c r="EBB102" s="64"/>
      <c r="EBC102" s="64"/>
      <c r="EBD102" s="64"/>
      <c r="EBE102" s="64"/>
      <c r="EBF102" s="64"/>
      <c r="EBG102" s="64"/>
      <c r="EBH102" s="64"/>
      <c r="EBI102" s="64"/>
      <c r="EBJ102" s="64"/>
      <c r="EBK102" s="64"/>
      <c r="EBL102" s="64"/>
      <c r="EBM102" s="64"/>
      <c r="EBN102" s="64"/>
      <c r="EBO102" s="64"/>
      <c r="EBP102" s="64"/>
      <c r="EBQ102" s="64"/>
      <c r="EBR102" s="64"/>
      <c r="EBS102" s="64"/>
      <c r="EBT102" s="64"/>
      <c r="EBU102" s="64"/>
      <c r="EBV102" s="64"/>
      <c r="EBW102" s="64"/>
      <c r="EBX102" s="64"/>
      <c r="EBY102" s="64"/>
      <c r="EBZ102" s="64"/>
      <c r="ECA102" s="64"/>
      <c r="ECB102" s="64"/>
      <c r="ECC102" s="64"/>
      <c r="ECD102" s="64"/>
      <c r="ECE102" s="64"/>
      <c r="ECF102" s="64"/>
      <c r="ECG102" s="64"/>
      <c r="ECH102" s="64"/>
      <c r="ECI102" s="64"/>
      <c r="ECJ102" s="64"/>
      <c r="ECK102" s="64"/>
      <c r="ECL102" s="64"/>
      <c r="ECM102" s="64"/>
      <c r="ECN102" s="64"/>
      <c r="ECO102" s="64"/>
      <c r="ECP102" s="64"/>
      <c r="ECQ102" s="64"/>
      <c r="ECR102" s="64"/>
      <c r="ECS102" s="64"/>
      <c r="ECT102" s="64"/>
      <c r="ECU102" s="64"/>
      <c r="ECV102" s="64"/>
      <c r="ECW102" s="64"/>
      <c r="ECX102" s="64"/>
      <c r="ECY102" s="64"/>
      <c r="ECZ102" s="64"/>
      <c r="EDA102" s="64"/>
      <c r="EDB102" s="64"/>
      <c r="EDC102" s="64"/>
      <c r="EDD102" s="64"/>
      <c r="EDE102" s="64"/>
      <c r="EDF102" s="64"/>
      <c r="EDG102" s="64"/>
      <c r="EDH102" s="64"/>
      <c r="EDI102" s="64"/>
      <c r="EDJ102" s="64"/>
      <c r="EDK102" s="64"/>
      <c r="EDL102" s="64"/>
      <c r="EDM102" s="64"/>
      <c r="EDN102" s="64"/>
      <c r="EDO102" s="64"/>
      <c r="EDP102" s="64"/>
      <c r="EDQ102" s="64"/>
      <c r="EDR102" s="64"/>
      <c r="EDS102" s="64"/>
      <c r="EDT102" s="64"/>
      <c r="EDU102" s="64"/>
      <c r="EDV102" s="64"/>
      <c r="EDW102" s="64"/>
      <c r="EDX102" s="64"/>
      <c r="EDY102" s="64"/>
      <c r="EDZ102" s="64"/>
      <c r="EEA102" s="64"/>
      <c r="EEB102" s="64"/>
      <c r="EEI102" s="64"/>
      <c r="EEJ102" s="64"/>
      <c r="EEK102" s="64"/>
      <c r="EEL102" s="64"/>
      <c r="EEM102" s="64"/>
      <c r="EEN102" s="64"/>
      <c r="EEO102" s="64"/>
      <c r="EEP102" s="64"/>
      <c r="EEQ102" s="64"/>
      <c r="EER102" s="64"/>
      <c r="EES102" s="64"/>
      <c r="EET102" s="64"/>
      <c r="EEU102" s="64"/>
      <c r="EEV102" s="64"/>
      <c r="EEW102" s="64"/>
      <c r="EEX102" s="64"/>
      <c r="EEY102" s="64"/>
      <c r="EEZ102" s="64"/>
      <c r="EFA102" s="64"/>
      <c r="EFB102" s="64"/>
      <c r="EFC102" s="64"/>
      <c r="EFD102" s="64"/>
      <c r="EFE102" s="64"/>
      <c r="EFF102" s="64"/>
      <c r="EFG102" s="64"/>
      <c r="EFH102" s="64"/>
      <c r="EFI102" s="64"/>
      <c r="EFJ102" s="64"/>
      <c r="EFK102" s="64"/>
      <c r="EFL102" s="64"/>
      <c r="EFM102" s="64"/>
      <c r="EFN102" s="64"/>
      <c r="EFO102" s="64"/>
      <c r="EFP102" s="64"/>
      <c r="EFQ102" s="64"/>
      <c r="EFR102" s="64"/>
      <c r="EFS102" s="64"/>
      <c r="EFT102" s="64"/>
      <c r="EFU102" s="64"/>
      <c r="EFV102" s="64"/>
      <c r="EFW102" s="64"/>
      <c r="EFX102" s="64"/>
      <c r="EFY102" s="64"/>
      <c r="EFZ102" s="64"/>
      <c r="EGA102" s="64"/>
      <c r="EGB102" s="64"/>
      <c r="EGC102" s="64"/>
      <c r="EGD102" s="64"/>
      <c r="EGE102" s="64"/>
      <c r="EGF102" s="64"/>
      <c r="EGG102" s="64"/>
      <c r="EGH102" s="64"/>
      <c r="EGI102" s="64"/>
      <c r="EGJ102" s="64"/>
      <c r="EGK102" s="64"/>
      <c r="EGL102" s="64"/>
      <c r="EGM102" s="64"/>
      <c r="EGN102" s="64"/>
      <c r="EGO102" s="64"/>
      <c r="EGP102" s="64"/>
      <c r="EGQ102" s="64"/>
      <c r="EGR102" s="64"/>
      <c r="EGS102" s="64"/>
      <c r="EGT102" s="64"/>
      <c r="EGU102" s="64"/>
      <c r="EGV102" s="64"/>
      <c r="EGW102" s="64"/>
      <c r="EGX102" s="64"/>
      <c r="EGY102" s="64"/>
      <c r="EGZ102" s="64"/>
      <c r="EHA102" s="64"/>
      <c r="EHB102" s="64"/>
      <c r="EHC102" s="64"/>
      <c r="EHD102" s="64"/>
      <c r="EHE102" s="64"/>
      <c r="EHF102" s="64"/>
      <c r="EHG102" s="64"/>
      <c r="EHH102" s="64"/>
      <c r="EHI102" s="64"/>
      <c r="EHJ102" s="64"/>
      <c r="EHK102" s="64"/>
      <c r="EHL102" s="64"/>
      <c r="EHM102" s="64"/>
      <c r="EHN102" s="64"/>
      <c r="EHO102" s="64"/>
      <c r="EHP102" s="64"/>
      <c r="EHQ102" s="64"/>
      <c r="EHR102" s="64"/>
      <c r="EHS102" s="64"/>
      <c r="EHT102" s="64"/>
      <c r="EHU102" s="64"/>
      <c r="EHV102" s="64"/>
      <c r="EHW102" s="64"/>
      <c r="EHX102" s="64"/>
      <c r="EHY102" s="64"/>
      <c r="EHZ102" s="64"/>
      <c r="EIA102" s="64"/>
      <c r="EIB102" s="64"/>
      <c r="EIC102" s="64"/>
      <c r="EID102" s="64"/>
      <c r="EIE102" s="64"/>
      <c r="EIF102" s="64"/>
      <c r="EIG102" s="64"/>
      <c r="EIH102" s="64"/>
      <c r="EII102" s="64"/>
      <c r="EIJ102" s="64"/>
      <c r="EIK102" s="64"/>
      <c r="EIL102" s="64"/>
      <c r="EIM102" s="64"/>
      <c r="EIN102" s="64"/>
      <c r="EIO102" s="64"/>
      <c r="EIP102" s="64"/>
      <c r="EIQ102" s="64"/>
      <c r="EIR102" s="64"/>
      <c r="EIS102" s="64"/>
      <c r="EIT102" s="64"/>
      <c r="EIU102" s="64"/>
      <c r="EIV102" s="64"/>
      <c r="EIW102" s="64"/>
      <c r="EIX102" s="64"/>
      <c r="EIY102" s="64"/>
      <c r="EIZ102" s="64"/>
      <c r="EJA102" s="64"/>
      <c r="EJB102" s="64"/>
      <c r="EJC102" s="64"/>
      <c r="EJD102" s="64"/>
      <c r="EJE102" s="64"/>
      <c r="EJF102" s="64"/>
      <c r="EJG102" s="64"/>
      <c r="EJH102" s="64"/>
      <c r="EJI102" s="64"/>
      <c r="EJJ102" s="64"/>
      <c r="EJK102" s="64"/>
      <c r="EJL102" s="64"/>
      <c r="EJM102" s="64"/>
      <c r="EJN102" s="64"/>
      <c r="EJO102" s="64"/>
      <c r="EJP102" s="64"/>
      <c r="EJQ102" s="64"/>
      <c r="EJR102" s="64"/>
      <c r="EJS102" s="64"/>
      <c r="EJT102" s="64"/>
      <c r="EJU102" s="64"/>
      <c r="EJV102" s="64"/>
      <c r="EJW102" s="64"/>
      <c r="EJX102" s="64"/>
      <c r="EJY102" s="64"/>
      <c r="EJZ102" s="64"/>
      <c r="EKA102" s="64"/>
      <c r="EKB102" s="64"/>
      <c r="EKC102" s="64"/>
      <c r="EKD102" s="64"/>
      <c r="EKE102" s="64"/>
      <c r="EKF102" s="64"/>
      <c r="EKG102" s="64"/>
      <c r="EKH102" s="64"/>
      <c r="EKI102" s="64"/>
      <c r="EKJ102" s="64"/>
      <c r="EKK102" s="64"/>
      <c r="EKL102" s="64"/>
      <c r="EKM102" s="64"/>
      <c r="EKN102" s="64"/>
      <c r="EKO102" s="64"/>
      <c r="EKP102" s="64"/>
      <c r="EKQ102" s="64"/>
      <c r="EKR102" s="64"/>
      <c r="EKS102" s="64"/>
      <c r="EKT102" s="64"/>
      <c r="EKU102" s="64"/>
      <c r="EKV102" s="64"/>
      <c r="EKW102" s="64"/>
      <c r="EKX102" s="64"/>
      <c r="EKY102" s="64"/>
      <c r="EKZ102" s="64"/>
      <c r="ELA102" s="64"/>
      <c r="ELB102" s="64"/>
      <c r="ELC102" s="64"/>
      <c r="ELD102" s="64"/>
      <c r="ELE102" s="64"/>
      <c r="ELF102" s="64"/>
      <c r="ELG102" s="64"/>
      <c r="ELH102" s="64"/>
      <c r="ELI102" s="64"/>
      <c r="ELJ102" s="64"/>
      <c r="ELK102" s="64"/>
      <c r="ELL102" s="64"/>
      <c r="ELM102" s="64"/>
      <c r="ELN102" s="64"/>
      <c r="ELO102" s="64"/>
      <c r="ELP102" s="64"/>
      <c r="ELQ102" s="64"/>
      <c r="ELR102" s="64"/>
      <c r="ELS102" s="64"/>
      <c r="ELT102" s="64"/>
      <c r="ELU102" s="64"/>
      <c r="ELV102" s="64"/>
      <c r="ELW102" s="64"/>
      <c r="ELX102" s="64"/>
      <c r="ELY102" s="64"/>
      <c r="ELZ102" s="64"/>
      <c r="EMA102" s="64"/>
      <c r="EMB102" s="64"/>
      <c r="EMC102" s="64"/>
      <c r="EMD102" s="64"/>
      <c r="EME102" s="64"/>
      <c r="EMF102" s="64"/>
      <c r="EMG102" s="64"/>
      <c r="EMH102" s="64"/>
      <c r="EMI102" s="64"/>
      <c r="EMJ102" s="64"/>
      <c r="EMK102" s="64"/>
      <c r="EML102" s="64"/>
      <c r="EMM102" s="64"/>
      <c r="EMN102" s="64"/>
      <c r="EMO102" s="64"/>
      <c r="EMP102" s="64"/>
      <c r="EMQ102" s="64"/>
      <c r="EMR102" s="64"/>
      <c r="EMS102" s="64"/>
      <c r="EMT102" s="64"/>
      <c r="EMU102" s="64"/>
      <c r="EMV102" s="64"/>
      <c r="EMW102" s="64"/>
      <c r="EMX102" s="64"/>
      <c r="EMY102" s="64"/>
      <c r="EMZ102" s="64"/>
      <c r="ENA102" s="64"/>
      <c r="ENB102" s="64"/>
      <c r="ENC102" s="64"/>
      <c r="END102" s="64"/>
      <c r="ENE102" s="64"/>
      <c r="ENF102" s="64"/>
      <c r="ENG102" s="64"/>
      <c r="ENH102" s="64"/>
      <c r="ENI102" s="64"/>
      <c r="ENJ102" s="64"/>
      <c r="ENK102" s="64"/>
      <c r="ENL102" s="64"/>
      <c r="ENM102" s="64"/>
      <c r="ENN102" s="64"/>
      <c r="ENO102" s="64"/>
      <c r="ENP102" s="64"/>
      <c r="ENQ102" s="64"/>
      <c r="ENR102" s="64"/>
      <c r="ENS102" s="64"/>
      <c r="ENT102" s="64"/>
      <c r="ENU102" s="64"/>
      <c r="ENV102" s="64"/>
      <c r="ENW102" s="64"/>
      <c r="ENX102" s="64"/>
      <c r="EOE102" s="64"/>
      <c r="EOF102" s="64"/>
      <c r="EOG102" s="64"/>
      <c r="EOH102" s="64"/>
      <c r="EOI102" s="64"/>
      <c r="EOJ102" s="64"/>
      <c r="EOK102" s="64"/>
      <c r="EOL102" s="64"/>
      <c r="EOM102" s="64"/>
      <c r="EON102" s="64"/>
      <c r="EOO102" s="64"/>
      <c r="EOP102" s="64"/>
      <c r="EOQ102" s="64"/>
      <c r="EOR102" s="64"/>
      <c r="EOS102" s="64"/>
      <c r="EOT102" s="64"/>
      <c r="EOU102" s="64"/>
      <c r="EOV102" s="64"/>
      <c r="EOW102" s="64"/>
      <c r="EOX102" s="64"/>
      <c r="EOY102" s="64"/>
      <c r="EOZ102" s="64"/>
      <c r="EPA102" s="64"/>
      <c r="EPB102" s="64"/>
      <c r="EPC102" s="64"/>
      <c r="EPD102" s="64"/>
      <c r="EPE102" s="64"/>
      <c r="EPF102" s="64"/>
      <c r="EPG102" s="64"/>
      <c r="EPH102" s="64"/>
      <c r="EPI102" s="64"/>
      <c r="EPJ102" s="64"/>
      <c r="EPK102" s="64"/>
      <c r="EPL102" s="64"/>
      <c r="EPM102" s="64"/>
      <c r="EPN102" s="64"/>
      <c r="EPO102" s="64"/>
      <c r="EPP102" s="64"/>
      <c r="EPQ102" s="64"/>
      <c r="EPR102" s="64"/>
      <c r="EPS102" s="64"/>
      <c r="EPT102" s="64"/>
      <c r="EPU102" s="64"/>
      <c r="EPV102" s="64"/>
      <c r="EPW102" s="64"/>
      <c r="EPX102" s="64"/>
      <c r="EPY102" s="64"/>
      <c r="EPZ102" s="64"/>
      <c r="EQA102" s="64"/>
      <c r="EQB102" s="64"/>
      <c r="EQC102" s="64"/>
      <c r="EQD102" s="64"/>
      <c r="EQE102" s="64"/>
      <c r="EQF102" s="64"/>
      <c r="EQG102" s="64"/>
      <c r="EQH102" s="64"/>
      <c r="EQI102" s="64"/>
      <c r="EQJ102" s="64"/>
      <c r="EQK102" s="64"/>
      <c r="EQL102" s="64"/>
      <c r="EQM102" s="64"/>
      <c r="EQN102" s="64"/>
      <c r="EQO102" s="64"/>
      <c r="EQP102" s="64"/>
      <c r="EQQ102" s="64"/>
      <c r="EQR102" s="64"/>
      <c r="EQS102" s="64"/>
      <c r="EQT102" s="64"/>
      <c r="EQU102" s="64"/>
      <c r="EQV102" s="64"/>
      <c r="EQW102" s="64"/>
      <c r="EQX102" s="64"/>
      <c r="EQY102" s="64"/>
      <c r="EQZ102" s="64"/>
      <c r="ERA102" s="64"/>
      <c r="ERB102" s="64"/>
      <c r="ERC102" s="64"/>
      <c r="ERD102" s="64"/>
      <c r="ERE102" s="64"/>
      <c r="ERF102" s="64"/>
      <c r="ERG102" s="64"/>
      <c r="ERH102" s="64"/>
      <c r="ERI102" s="64"/>
      <c r="ERJ102" s="64"/>
      <c r="ERK102" s="64"/>
      <c r="ERL102" s="64"/>
      <c r="ERM102" s="64"/>
      <c r="ERN102" s="64"/>
      <c r="ERO102" s="64"/>
      <c r="ERP102" s="64"/>
      <c r="ERQ102" s="64"/>
      <c r="ERR102" s="64"/>
      <c r="ERS102" s="64"/>
      <c r="ERT102" s="64"/>
      <c r="ERU102" s="64"/>
      <c r="ERV102" s="64"/>
      <c r="ERW102" s="64"/>
      <c r="ERX102" s="64"/>
      <c r="ERY102" s="64"/>
      <c r="ERZ102" s="64"/>
      <c r="ESA102" s="64"/>
      <c r="ESB102" s="64"/>
      <c r="ESC102" s="64"/>
      <c r="ESD102" s="64"/>
      <c r="ESE102" s="64"/>
      <c r="ESF102" s="64"/>
      <c r="ESG102" s="64"/>
      <c r="ESH102" s="64"/>
      <c r="ESI102" s="64"/>
      <c r="ESJ102" s="64"/>
      <c r="ESK102" s="64"/>
      <c r="ESL102" s="64"/>
      <c r="ESM102" s="64"/>
      <c r="ESN102" s="64"/>
      <c r="ESO102" s="64"/>
      <c r="ESP102" s="64"/>
      <c r="ESQ102" s="64"/>
      <c r="ESR102" s="64"/>
      <c r="ESS102" s="64"/>
      <c r="EST102" s="64"/>
      <c r="ESU102" s="64"/>
      <c r="ESV102" s="64"/>
      <c r="ESW102" s="64"/>
      <c r="ESX102" s="64"/>
      <c r="ESY102" s="64"/>
      <c r="ESZ102" s="64"/>
      <c r="ETA102" s="64"/>
      <c r="ETB102" s="64"/>
      <c r="ETC102" s="64"/>
      <c r="ETD102" s="64"/>
      <c r="ETE102" s="64"/>
      <c r="ETF102" s="64"/>
      <c r="ETG102" s="64"/>
      <c r="ETH102" s="64"/>
      <c r="ETI102" s="64"/>
      <c r="ETJ102" s="64"/>
      <c r="ETK102" s="64"/>
      <c r="ETL102" s="64"/>
      <c r="ETM102" s="64"/>
      <c r="ETN102" s="64"/>
      <c r="ETO102" s="64"/>
      <c r="ETP102" s="64"/>
      <c r="ETQ102" s="64"/>
      <c r="ETR102" s="64"/>
      <c r="ETS102" s="64"/>
      <c r="ETT102" s="64"/>
      <c r="ETU102" s="64"/>
      <c r="ETV102" s="64"/>
      <c r="ETW102" s="64"/>
      <c r="ETX102" s="64"/>
      <c r="ETY102" s="64"/>
      <c r="ETZ102" s="64"/>
      <c r="EUA102" s="64"/>
      <c r="EUB102" s="64"/>
      <c r="EUC102" s="64"/>
      <c r="EUD102" s="64"/>
      <c r="EUE102" s="64"/>
      <c r="EUF102" s="64"/>
      <c r="EUG102" s="64"/>
      <c r="EUH102" s="64"/>
      <c r="EUI102" s="64"/>
      <c r="EUJ102" s="64"/>
      <c r="EUK102" s="64"/>
      <c r="EUL102" s="64"/>
      <c r="EUM102" s="64"/>
      <c r="EUN102" s="64"/>
      <c r="EUO102" s="64"/>
      <c r="EUP102" s="64"/>
      <c r="EUQ102" s="64"/>
      <c r="EUR102" s="64"/>
      <c r="EUS102" s="64"/>
      <c r="EUT102" s="64"/>
      <c r="EUU102" s="64"/>
      <c r="EUV102" s="64"/>
      <c r="EUW102" s="64"/>
      <c r="EUX102" s="64"/>
      <c r="EUY102" s="64"/>
      <c r="EUZ102" s="64"/>
      <c r="EVA102" s="64"/>
      <c r="EVB102" s="64"/>
      <c r="EVC102" s="64"/>
      <c r="EVD102" s="64"/>
      <c r="EVE102" s="64"/>
      <c r="EVF102" s="64"/>
      <c r="EVG102" s="64"/>
      <c r="EVH102" s="64"/>
      <c r="EVI102" s="64"/>
      <c r="EVJ102" s="64"/>
      <c r="EVK102" s="64"/>
      <c r="EVL102" s="64"/>
      <c r="EVM102" s="64"/>
      <c r="EVN102" s="64"/>
      <c r="EVO102" s="64"/>
      <c r="EVP102" s="64"/>
      <c r="EVQ102" s="64"/>
      <c r="EVR102" s="64"/>
      <c r="EVS102" s="64"/>
      <c r="EVT102" s="64"/>
      <c r="EVU102" s="64"/>
      <c r="EVV102" s="64"/>
      <c r="EVW102" s="64"/>
      <c r="EVX102" s="64"/>
      <c r="EVY102" s="64"/>
      <c r="EVZ102" s="64"/>
      <c r="EWA102" s="64"/>
      <c r="EWB102" s="64"/>
      <c r="EWC102" s="64"/>
      <c r="EWD102" s="64"/>
      <c r="EWE102" s="64"/>
      <c r="EWF102" s="64"/>
      <c r="EWG102" s="64"/>
      <c r="EWH102" s="64"/>
      <c r="EWI102" s="64"/>
      <c r="EWJ102" s="64"/>
      <c r="EWK102" s="64"/>
      <c r="EWL102" s="64"/>
      <c r="EWM102" s="64"/>
      <c r="EWN102" s="64"/>
      <c r="EWO102" s="64"/>
      <c r="EWP102" s="64"/>
      <c r="EWQ102" s="64"/>
      <c r="EWR102" s="64"/>
      <c r="EWS102" s="64"/>
      <c r="EWT102" s="64"/>
      <c r="EWU102" s="64"/>
      <c r="EWV102" s="64"/>
      <c r="EWW102" s="64"/>
      <c r="EWX102" s="64"/>
      <c r="EWY102" s="64"/>
      <c r="EWZ102" s="64"/>
      <c r="EXA102" s="64"/>
      <c r="EXB102" s="64"/>
      <c r="EXC102" s="64"/>
      <c r="EXD102" s="64"/>
      <c r="EXE102" s="64"/>
      <c r="EXF102" s="64"/>
      <c r="EXG102" s="64"/>
      <c r="EXH102" s="64"/>
      <c r="EXI102" s="64"/>
      <c r="EXJ102" s="64"/>
      <c r="EXK102" s="64"/>
      <c r="EXL102" s="64"/>
      <c r="EXM102" s="64"/>
      <c r="EXN102" s="64"/>
      <c r="EXO102" s="64"/>
      <c r="EXP102" s="64"/>
      <c r="EXQ102" s="64"/>
      <c r="EXR102" s="64"/>
      <c r="EXS102" s="64"/>
      <c r="EXT102" s="64"/>
      <c r="EYA102" s="64"/>
      <c r="EYB102" s="64"/>
      <c r="EYC102" s="64"/>
      <c r="EYD102" s="64"/>
      <c r="EYE102" s="64"/>
      <c r="EYF102" s="64"/>
      <c r="EYG102" s="64"/>
      <c r="EYH102" s="64"/>
      <c r="EYI102" s="64"/>
      <c r="EYJ102" s="64"/>
      <c r="EYK102" s="64"/>
      <c r="EYL102" s="64"/>
      <c r="EYM102" s="64"/>
      <c r="EYN102" s="64"/>
      <c r="EYO102" s="64"/>
      <c r="EYP102" s="64"/>
      <c r="EYQ102" s="64"/>
      <c r="EYR102" s="64"/>
      <c r="EYS102" s="64"/>
      <c r="EYT102" s="64"/>
      <c r="EYU102" s="64"/>
      <c r="EYV102" s="64"/>
      <c r="EYW102" s="64"/>
      <c r="EYX102" s="64"/>
      <c r="EYY102" s="64"/>
      <c r="EYZ102" s="64"/>
      <c r="EZA102" s="64"/>
      <c r="EZB102" s="64"/>
      <c r="EZC102" s="64"/>
      <c r="EZD102" s="64"/>
      <c r="EZE102" s="64"/>
      <c r="EZF102" s="64"/>
      <c r="EZG102" s="64"/>
      <c r="EZH102" s="64"/>
      <c r="EZI102" s="64"/>
      <c r="EZJ102" s="64"/>
      <c r="EZK102" s="64"/>
      <c r="EZL102" s="64"/>
      <c r="EZM102" s="64"/>
      <c r="EZN102" s="64"/>
      <c r="EZO102" s="64"/>
      <c r="EZP102" s="64"/>
      <c r="EZQ102" s="64"/>
      <c r="EZR102" s="64"/>
      <c r="EZS102" s="64"/>
      <c r="EZT102" s="64"/>
      <c r="EZU102" s="64"/>
      <c r="EZV102" s="64"/>
      <c r="EZW102" s="64"/>
      <c r="EZX102" s="64"/>
      <c r="EZY102" s="64"/>
      <c r="EZZ102" s="64"/>
      <c r="FAA102" s="64"/>
      <c r="FAB102" s="64"/>
      <c r="FAC102" s="64"/>
      <c r="FAD102" s="64"/>
      <c r="FAE102" s="64"/>
      <c r="FAF102" s="64"/>
      <c r="FAG102" s="64"/>
      <c r="FAH102" s="64"/>
      <c r="FAI102" s="64"/>
      <c r="FAJ102" s="64"/>
      <c r="FAK102" s="64"/>
      <c r="FAL102" s="64"/>
      <c r="FAM102" s="64"/>
      <c r="FAN102" s="64"/>
      <c r="FAO102" s="64"/>
      <c r="FAP102" s="64"/>
      <c r="FAQ102" s="64"/>
      <c r="FAR102" s="64"/>
      <c r="FAS102" s="64"/>
      <c r="FAT102" s="64"/>
      <c r="FAU102" s="64"/>
      <c r="FAV102" s="64"/>
      <c r="FAW102" s="64"/>
      <c r="FAX102" s="64"/>
      <c r="FAY102" s="64"/>
      <c r="FAZ102" s="64"/>
      <c r="FBA102" s="64"/>
      <c r="FBB102" s="64"/>
      <c r="FBC102" s="64"/>
      <c r="FBD102" s="64"/>
      <c r="FBE102" s="64"/>
      <c r="FBF102" s="64"/>
      <c r="FBG102" s="64"/>
      <c r="FBH102" s="64"/>
      <c r="FBI102" s="64"/>
      <c r="FBJ102" s="64"/>
      <c r="FBK102" s="64"/>
      <c r="FBL102" s="64"/>
      <c r="FBM102" s="64"/>
      <c r="FBN102" s="64"/>
      <c r="FBO102" s="64"/>
      <c r="FBP102" s="64"/>
      <c r="FBQ102" s="64"/>
      <c r="FBR102" s="64"/>
      <c r="FBS102" s="64"/>
      <c r="FBT102" s="64"/>
      <c r="FBU102" s="64"/>
      <c r="FBV102" s="64"/>
      <c r="FBW102" s="64"/>
      <c r="FBX102" s="64"/>
      <c r="FBY102" s="64"/>
      <c r="FBZ102" s="64"/>
      <c r="FCA102" s="64"/>
      <c r="FCB102" s="64"/>
      <c r="FCC102" s="64"/>
      <c r="FCD102" s="64"/>
      <c r="FCE102" s="64"/>
      <c r="FCF102" s="64"/>
      <c r="FCG102" s="64"/>
      <c r="FCH102" s="64"/>
      <c r="FCI102" s="64"/>
      <c r="FCJ102" s="64"/>
      <c r="FCK102" s="64"/>
      <c r="FCL102" s="64"/>
      <c r="FCM102" s="64"/>
      <c r="FCN102" s="64"/>
      <c r="FCO102" s="64"/>
      <c r="FCP102" s="64"/>
      <c r="FCQ102" s="64"/>
      <c r="FCR102" s="64"/>
      <c r="FCS102" s="64"/>
      <c r="FCT102" s="64"/>
      <c r="FCU102" s="64"/>
      <c r="FCV102" s="64"/>
      <c r="FCW102" s="64"/>
      <c r="FCX102" s="64"/>
      <c r="FCY102" s="64"/>
      <c r="FCZ102" s="64"/>
      <c r="FDA102" s="64"/>
      <c r="FDB102" s="64"/>
      <c r="FDC102" s="64"/>
      <c r="FDD102" s="64"/>
      <c r="FDE102" s="64"/>
      <c r="FDF102" s="64"/>
      <c r="FDG102" s="64"/>
      <c r="FDH102" s="64"/>
      <c r="FDI102" s="64"/>
      <c r="FDJ102" s="64"/>
      <c r="FDK102" s="64"/>
      <c r="FDL102" s="64"/>
      <c r="FDM102" s="64"/>
      <c r="FDN102" s="64"/>
      <c r="FDO102" s="64"/>
      <c r="FDP102" s="64"/>
      <c r="FDQ102" s="64"/>
      <c r="FDR102" s="64"/>
      <c r="FDS102" s="64"/>
      <c r="FDT102" s="64"/>
      <c r="FDU102" s="64"/>
      <c r="FDV102" s="64"/>
      <c r="FDW102" s="64"/>
      <c r="FDX102" s="64"/>
      <c r="FDY102" s="64"/>
      <c r="FDZ102" s="64"/>
      <c r="FEA102" s="64"/>
      <c r="FEB102" s="64"/>
      <c r="FEC102" s="64"/>
      <c r="FED102" s="64"/>
      <c r="FEE102" s="64"/>
      <c r="FEF102" s="64"/>
      <c r="FEG102" s="64"/>
      <c r="FEH102" s="64"/>
      <c r="FEI102" s="64"/>
      <c r="FEJ102" s="64"/>
      <c r="FEK102" s="64"/>
      <c r="FEL102" s="64"/>
      <c r="FEM102" s="64"/>
      <c r="FEN102" s="64"/>
      <c r="FEO102" s="64"/>
      <c r="FEP102" s="64"/>
      <c r="FEQ102" s="64"/>
      <c r="FER102" s="64"/>
      <c r="FES102" s="64"/>
      <c r="FET102" s="64"/>
      <c r="FEU102" s="64"/>
      <c r="FEV102" s="64"/>
      <c r="FEW102" s="64"/>
      <c r="FEX102" s="64"/>
      <c r="FEY102" s="64"/>
      <c r="FEZ102" s="64"/>
      <c r="FFA102" s="64"/>
      <c r="FFB102" s="64"/>
      <c r="FFC102" s="64"/>
      <c r="FFD102" s="64"/>
      <c r="FFE102" s="64"/>
      <c r="FFF102" s="64"/>
      <c r="FFG102" s="64"/>
      <c r="FFH102" s="64"/>
      <c r="FFI102" s="64"/>
      <c r="FFJ102" s="64"/>
      <c r="FFK102" s="64"/>
      <c r="FFL102" s="64"/>
      <c r="FFM102" s="64"/>
      <c r="FFN102" s="64"/>
      <c r="FFO102" s="64"/>
      <c r="FFP102" s="64"/>
      <c r="FFQ102" s="64"/>
      <c r="FFR102" s="64"/>
      <c r="FFS102" s="64"/>
      <c r="FFT102" s="64"/>
      <c r="FFU102" s="64"/>
      <c r="FFV102" s="64"/>
      <c r="FFW102" s="64"/>
      <c r="FFX102" s="64"/>
      <c r="FFY102" s="64"/>
      <c r="FFZ102" s="64"/>
      <c r="FGA102" s="64"/>
      <c r="FGB102" s="64"/>
      <c r="FGC102" s="64"/>
      <c r="FGD102" s="64"/>
      <c r="FGE102" s="64"/>
      <c r="FGF102" s="64"/>
      <c r="FGG102" s="64"/>
      <c r="FGH102" s="64"/>
      <c r="FGI102" s="64"/>
      <c r="FGJ102" s="64"/>
      <c r="FGK102" s="64"/>
      <c r="FGL102" s="64"/>
      <c r="FGM102" s="64"/>
      <c r="FGN102" s="64"/>
      <c r="FGO102" s="64"/>
      <c r="FGP102" s="64"/>
      <c r="FGQ102" s="64"/>
      <c r="FGR102" s="64"/>
      <c r="FGS102" s="64"/>
      <c r="FGT102" s="64"/>
      <c r="FGU102" s="64"/>
      <c r="FGV102" s="64"/>
      <c r="FGW102" s="64"/>
      <c r="FGX102" s="64"/>
      <c r="FGY102" s="64"/>
      <c r="FGZ102" s="64"/>
      <c r="FHA102" s="64"/>
      <c r="FHB102" s="64"/>
      <c r="FHC102" s="64"/>
      <c r="FHD102" s="64"/>
      <c r="FHE102" s="64"/>
      <c r="FHF102" s="64"/>
      <c r="FHG102" s="64"/>
      <c r="FHH102" s="64"/>
      <c r="FHI102" s="64"/>
      <c r="FHJ102" s="64"/>
      <c r="FHK102" s="64"/>
      <c r="FHL102" s="64"/>
      <c r="FHM102" s="64"/>
      <c r="FHN102" s="64"/>
      <c r="FHO102" s="64"/>
      <c r="FHP102" s="64"/>
      <c r="FHW102" s="64"/>
      <c r="FHX102" s="64"/>
      <c r="FHY102" s="64"/>
      <c r="FHZ102" s="64"/>
      <c r="FIA102" s="64"/>
      <c r="FIB102" s="64"/>
      <c r="FIC102" s="64"/>
      <c r="FID102" s="64"/>
      <c r="FIE102" s="64"/>
      <c r="FIF102" s="64"/>
      <c r="FIG102" s="64"/>
      <c r="FIH102" s="64"/>
      <c r="FII102" s="64"/>
      <c r="FIJ102" s="64"/>
      <c r="FIK102" s="64"/>
      <c r="FIL102" s="64"/>
      <c r="FIM102" s="64"/>
      <c r="FIN102" s="64"/>
      <c r="FIO102" s="64"/>
      <c r="FIP102" s="64"/>
      <c r="FIQ102" s="64"/>
      <c r="FIR102" s="64"/>
      <c r="FIS102" s="64"/>
      <c r="FIT102" s="64"/>
      <c r="FIU102" s="64"/>
      <c r="FIV102" s="64"/>
      <c r="FIW102" s="64"/>
      <c r="FIX102" s="64"/>
      <c r="FIY102" s="64"/>
      <c r="FIZ102" s="64"/>
      <c r="FJA102" s="64"/>
      <c r="FJB102" s="64"/>
      <c r="FJC102" s="64"/>
      <c r="FJD102" s="64"/>
      <c r="FJE102" s="64"/>
      <c r="FJF102" s="64"/>
      <c r="FJG102" s="64"/>
      <c r="FJH102" s="64"/>
      <c r="FJI102" s="64"/>
      <c r="FJJ102" s="64"/>
      <c r="FJK102" s="64"/>
      <c r="FJL102" s="64"/>
      <c r="FJM102" s="64"/>
      <c r="FJN102" s="64"/>
      <c r="FJO102" s="64"/>
      <c r="FJP102" s="64"/>
      <c r="FJQ102" s="64"/>
      <c r="FJR102" s="64"/>
      <c r="FJS102" s="64"/>
      <c r="FJT102" s="64"/>
      <c r="FJU102" s="64"/>
      <c r="FJV102" s="64"/>
      <c r="FJW102" s="64"/>
      <c r="FJX102" s="64"/>
      <c r="FJY102" s="64"/>
      <c r="FJZ102" s="64"/>
      <c r="FKA102" s="64"/>
      <c r="FKB102" s="64"/>
      <c r="FKC102" s="64"/>
      <c r="FKD102" s="64"/>
      <c r="FKE102" s="64"/>
      <c r="FKF102" s="64"/>
      <c r="FKG102" s="64"/>
      <c r="FKH102" s="64"/>
      <c r="FKI102" s="64"/>
      <c r="FKJ102" s="64"/>
      <c r="FKK102" s="64"/>
      <c r="FKL102" s="64"/>
      <c r="FKM102" s="64"/>
      <c r="FKN102" s="64"/>
      <c r="FKO102" s="64"/>
      <c r="FKP102" s="64"/>
      <c r="FKQ102" s="64"/>
      <c r="FKR102" s="64"/>
      <c r="FKS102" s="64"/>
      <c r="FKT102" s="64"/>
      <c r="FKU102" s="64"/>
      <c r="FKV102" s="64"/>
      <c r="FKW102" s="64"/>
      <c r="FKX102" s="64"/>
      <c r="FKY102" s="64"/>
      <c r="FKZ102" s="64"/>
      <c r="FLA102" s="64"/>
      <c r="FLB102" s="64"/>
      <c r="FLC102" s="64"/>
      <c r="FLD102" s="64"/>
      <c r="FLE102" s="64"/>
      <c r="FLF102" s="64"/>
      <c r="FLG102" s="64"/>
      <c r="FLH102" s="64"/>
      <c r="FLI102" s="64"/>
      <c r="FLJ102" s="64"/>
      <c r="FLK102" s="64"/>
      <c r="FLL102" s="64"/>
      <c r="FLM102" s="64"/>
      <c r="FLN102" s="64"/>
      <c r="FLO102" s="64"/>
      <c r="FLP102" s="64"/>
      <c r="FLQ102" s="64"/>
      <c r="FLR102" s="64"/>
      <c r="FLS102" s="64"/>
      <c r="FLT102" s="64"/>
      <c r="FLU102" s="64"/>
      <c r="FLV102" s="64"/>
      <c r="FLW102" s="64"/>
      <c r="FLX102" s="64"/>
      <c r="FLY102" s="64"/>
      <c r="FLZ102" s="64"/>
      <c r="FMA102" s="64"/>
      <c r="FMB102" s="64"/>
      <c r="FMC102" s="64"/>
      <c r="FMD102" s="64"/>
      <c r="FME102" s="64"/>
      <c r="FMF102" s="64"/>
      <c r="FMG102" s="64"/>
      <c r="FMH102" s="64"/>
      <c r="FMI102" s="64"/>
      <c r="FMJ102" s="64"/>
      <c r="FMK102" s="64"/>
      <c r="FML102" s="64"/>
      <c r="FMM102" s="64"/>
      <c r="FMN102" s="64"/>
      <c r="FMO102" s="64"/>
      <c r="FMP102" s="64"/>
      <c r="FMQ102" s="64"/>
      <c r="FMR102" s="64"/>
      <c r="FMS102" s="64"/>
      <c r="FMT102" s="64"/>
      <c r="FMU102" s="64"/>
      <c r="FMV102" s="64"/>
      <c r="FMW102" s="64"/>
      <c r="FMX102" s="64"/>
      <c r="FMY102" s="64"/>
      <c r="FMZ102" s="64"/>
      <c r="FNA102" s="64"/>
      <c r="FNB102" s="64"/>
      <c r="FNC102" s="64"/>
      <c r="FND102" s="64"/>
      <c r="FNE102" s="64"/>
      <c r="FNF102" s="64"/>
      <c r="FNG102" s="64"/>
      <c r="FNH102" s="64"/>
      <c r="FNI102" s="64"/>
      <c r="FNJ102" s="64"/>
      <c r="FNK102" s="64"/>
      <c r="FNL102" s="64"/>
      <c r="FNM102" s="64"/>
      <c r="FNN102" s="64"/>
      <c r="FNO102" s="64"/>
      <c r="FNP102" s="64"/>
      <c r="FNQ102" s="64"/>
      <c r="FNR102" s="64"/>
      <c r="FNS102" s="64"/>
      <c r="FNT102" s="64"/>
      <c r="FNU102" s="64"/>
      <c r="FNV102" s="64"/>
      <c r="FNW102" s="64"/>
      <c r="FNX102" s="64"/>
      <c r="FNY102" s="64"/>
      <c r="FNZ102" s="64"/>
      <c r="FOA102" s="64"/>
      <c r="FOB102" s="64"/>
      <c r="FOC102" s="64"/>
      <c r="FOD102" s="64"/>
      <c r="FOE102" s="64"/>
      <c r="FOF102" s="64"/>
      <c r="FOG102" s="64"/>
      <c r="FOH102" s="64"/>
      <c r="FOI102" s="64"/>
      <c r="FOJ102" s="64"/>
      <c r="FOK102" s="64"/>
      <c r="FOL102" s="64"/>
      <c r="FOM102" s="64"/>
      <c r="FON102" s="64"/>
      <c r="FOO102" s="64"/>
      <c r="FOP102" s="64"/>
      <c r="FOQ102" s="64"/>
      <c r="FOR102" s="64"/>
      <c r="FOS102" s="64"/>
      <c r="FOT102" s="64"/>
      <c r="FOU102" s="64"/>
      <c r="FOV102" s="64"/>
      <c r="FOW102" s="64"/>
      <c r="FOX102" s="64"/>
      <c r="FOY102" s="64"/>
      <c r="FOZ102" s="64"/>
      <c r="FPA102" s="64"/>
      <c r="FPB102" s="64"/>
      <c r="FPC102" s="64"/>
      <c r="FPD102" s="64"/>
      <c r="FPE102" s="64"/>
      <c r="FPF102" s="64"/>
      <c r="FPG102" s="64"/>
      <c r="FPH102" s="64"/>
      <c r="FPI102" s="64"/>
      <c r="FPJ102" s="64"/>
      <c r="FPK102" s="64"/>
      <c r="FPL102" s="64"/>
      <c r="FPM102" s="64"/>
      <c r="FPN102" s="64"/>
      <c r="FPO102" s="64"/>
      <c r="FPP102" s="64"/>
      <c r="FPQ102" s="64"/>
      <c r="FPR102" s="64"/>
      <c r="FPS102" s="64"/>
      <c r="FPT102" s="64"/>
      <c r="FPU102" s="64"/>
      <c r="FPV102" s="64"/>
      <c r="FPW102" s="64"/>
      <c r="FPX102" s="64"/>
      <c r="FPY102" s="64"/>
      <c r="FPZ102" s="64"/>
      <c r="FQA102" s="64"/>
      <c r="FQB102" s="64"/>
      <c r="FQC102" s="64"/>
      <c r="FQD102" s="64"/>
      <c r="FQE102" s="64"/>
      <c r="FQF102" s="64"/>
      <c r="FQG102" s="64"/>
      <c r="FQH102" s="64"/>
      <c r="FQI102" s="64"/>
      <c r="FQJ102" s="64"/>
      <c r="FQK102" s="64"/>
      <c r="FQL102" s="64"/>
      <c r="FQM102" s="64"/>
      <c r="FQN102" s="64"/>
      <c r="FQO102" s="64"/>
      <c r="FQP102" s="64"/>
      <c r="FQQ102" s="64"/>
      <c r="FQR102" s="64"/>
      <c r="FQS102" s="64"/>
      <c r="FQT102" s="64"/>
      <c r="FQU102" s="64"/>
      <c r="FQV102" s="64"/>
      <c r="FQW102" s="64"/>
      <c r="FQX102" s="64"/>
      <c r="FQY102" s="64"/>
      <c r="FQZ102" s="64"/>
      <c r="FRA102" s="64"/>
      <c r="FRB102" s="64"/>
      <c r="FRC102" s="64"/>
      <c r="FRD102" s="64"/>
      <c r="FRE102" s="64"/>
      <c r="FRF102" s="64"/>
      <c r="FRG102" s="64"/>
      <c r="FRH102" s="64"/>
      <c r="FRI102" s="64"/>
      <c r="FRJ102" s="64"/>
      <c r="FRK102" s="64"/>
      <c r="FRL102" s="64"/>
      <c r="FRS102" s="64"/>
      <c r="FRT102" s="64"/>
      <c r="FRU102" s="64"/>
      <c r="FRV102" s="64"/>
      <c r="FRW102" s="64"/>
      <c r="FRX102" s="64"/>
      <c r="FRY102" s="64"/>
      <c r="FRZ102" s="64"/>
      <c r="FSA102" s="64"/>
      <c r="FSB102" s="64"/>
      <c r="FSC102" s="64"/>
      <c r="FSD102" s="64"/>
      <c r="FSE102" s="64"/>
      <c r="FSF102" s="64"/>
      <c r="FSG102" s="64"/>
      <c r="FSH102" s="64"/>
      <c r="FSI102" s="64"/>
      <c r="FSJ102" s="64"/>
      <c r="FSK102" s="64"/>
      <c r="FSL102" s="64"/>
      <c r="FSM102" s="64"/>
      <c r="FSN102" s="64"/>
      <c r="FSO102" s="64"/>
      <c r="FSP102" s="64"/>
      <c r="FSQ102" s="64"/>
      <c r="FSR102" s="64"/>
      <c r="FSS102" s="64"/>
      <c r="FST102" s="64"/>
      <c r="FSU102" s="64"/>
      <c r="FSV102" s="64"/>
      <c r="FSW102" s="64"/>
      <c r="FSX102" s="64"/>
      <c r="FSY102" s="64"/>
      <c r="FSZ102" s="64"/>
      <c r="FTA102" s="64"/>
      <c r="FTB102" s="64"/>
      <c r="FTC102" s="64"/>
      <c r="FTD102" s="64"/>
      <c r="FTE102" s="64"/>
      <c r="FTF102" s="64"/>
      <c r="FTG102" s="64"/>
      <c r="FTH102" s="64"/>
      <c r="FTI102" s="64"/>
      <c r="FTJ102" s="64"/>
      <c r="FTK102" s="64"/>
      <c r="FTL102" s="64"/>
      <c r="FTM102" s="64"/>
      <c r="FTN102" s="64"/>
      <c r="FTO102" s="64"/>
      <c r="FTP102" s="64"/>
      <c r="FTQ102" s="64"/>
      <c r="FTR102" s="64"/>
      <c r="FTS102" s="64"/>
      <c r="FTT102" s="64"/>
      <c r="FTU102" s="64"/>
      <c r="FTV102" s="64"/>
      <c r="FTW102" s="64"/>
      <c r="FTX102" s="64"/>
      <c r="FTY102" s="64"/>
      <c r="FTZ102" s="64"/>
      <c r="FUA102" s="64"/>
      <c r="FUB102" s="64"/>
      <c r="FUC102" s="64"/>
      <c r="FUD102" s="64"/>
      <c r="FUE102" s="64"/>
      <c r="FUF102" s="64"/>
      <c r="FUG102" s="64"/>
      <c r="FUH102" s="64"/>
      <c r="FUI102" s="64"/>
      <c r="FUJ102" s="64"/>
      <c r="FUK102" s="64"/>
      <c r="FUL102" s="64"/>
      <c r="FUM102" s="64"/>
      <c r="FUN102" s="64"/>
      <c r="FUO102" s="64"/>
      <c r="FUP102" s="64"/>
      <c r="FUQ102" s="64"/>
      <c r="FUR102" s="64"/>
      <c r="FUS102" s="64"/>
      <c r="FUT102" s="64"/>
      <c r="FUU102" s="64"/>
      <c r="FUV102" s="64"/>
      <c r="FUW102" s="64"/>
      <c r="FUX102" s="64"/>
      <c r="FUY102" s="64"/>
      <c r="FUZ102" s="64"/>
      <c r="FVA102" s="64"/>
      <c r="FVB102" s="64"/>
      <c r="FVC102" s="64"/>
      <c r="FVD102" s="64"/>
      <c r="FVE102" s="64"/>
      <c r="FVF102" s="64"/>
      <c r="FVG102" s="64"/>
      <c r="FVH102" s="64"/>
      <c r="FVI102" s="64"/>
      <c r="FVJ102" s="64"/>
      <c r="FVK102" s="64"/>
      <c r="FVL102" s="64"/>
      <c r="FVM102" s="64"/>
      <c r="FVN102" s="64"/>
      <c r="FVO102" s="64"/>
      <c r="FVP102" s="64"/>
      <c r="FVQ102" s="64"/>
      <c r="FVR102" s="64"/>
      <c r="FVS102" s="64"/>
      <c r="FVT102" s="64"/>
      <c r="FVU102" s="64"/>
      <c r="FVV102" s="64"/>
      <c r="FVW102" s="64"/>
      <c r="FVX102" s="64"/>
      <c r="FVY102" s="64"/>
      <c r="FVZ102" s="64"/>
      <c r="FWA102" s="64"/>
      <c r="FWB102" s="64"/>
      <c r="FWC102" s="64"/>
      <c r="FWD102" s="64"/>
      <c r="FWE102" s="64"/>
      <c r="FWF102" s="64"/>
      <c r="FWG102" s="64"/>
      <c r="FWH102" s="64"/>
      <c r="FWI102" s="64"/>
      <c r="FWJ102" s="64"/>
      <c r="FWK102" s="64"/>
      <c r="FWL102" s="64"/>
      <c r="FWM102" s="64"/>
      <c r="FWN102" s="64"/>
      <c r="FWO102" s="64"/>
      <c r="FWP102" s="64"/>
      <c r="FWQ102" s="64"/>
      <c r="FWR102" s="64"/>
      <c r="FWS102" s="64"/>
      <c r="FWT102" s="64"/>
      <c r="FWU102" s="64"/>
      <c r="FWV102" s="64"/>
      <c r="FWW102" s="64"/>
      <c r="FWX102" s="64"/>
      <c r="FWY102" s="64"/>
      <c r="FWZ102" s="64"/>
      <c r="FXA102" s="64"/>
      <c r="FXB102" s="64"/>
      <c r="FXC102" s="64"/>
      <c r="FXD102" s="64"/>
      <c r="FXE102" s="64"/>
      <c r="FXF102" s="64"/>
      <c r="FXG102" s="64"/>
      <c r="FXH102" s="64"/>
      <c r="FXI102" s="64"/>
      <c r="FXJ102" s="64"/>
      <c r="FXK102" s="64"/>
      <c r="FXL102" s="64"/>
      <c r="FXM102" s="64"/>
      <c r="FXN102" s="64"/>
      <c r="FXO102" s="64"/>
      <c r="FXP102" s="64"/>
      <c r="FXQ102" s="64"/>
      <c r="FXR102" s="64"/>
      <c r="FXS102" s="64"/>
      <c r="FXT102" s="64"/>
      <c r="FXU102" s="64"/>
      <c r="FXV102" s="64"/>
      <c r="FXW102" s="64"/>
      <c r="FXX102" s="64"/>
      <c r="FXY102" s="64"/>
      <c r="FXZ102" s="64"/>
      <c r="FYA102" s="64"/>
      <c r="FYB102" s="64"/>
      <c r="FYC102" s="64"/>
      <c r="FYD102" s="64"/>
      <c r="FYE102" s="64"/>
      <c r="FYF102" s="64"/>
      <c r="FYG102" s="64"/>
      <c r="FYH102" s="64"/>
      <c r="FYI102" s="64"/>
      <c r="FYJ102" s="64"/>
      <c r="FYK102" s="64"/>
      <c r="FYL102" s="64"/>
      <c r="FYM102" s="64"/>
      <c r="FYN102" s="64"/>
      <c r="FYO102" s="64"/>
      <c r="FYP102" s="64"/>
      <c r="FYQ102" s="64"/>
      <c r="FYR102" s="64"/>
      <c r="FYS102" s="64"/>
      <c r="FYT102" s="64"/>
      <c r="FYU102" s="64"/>
      <c r="FYV102" s="64"/>
      <c r="FYW102" s="64"/>
      <c r="FYX102" s="64"/>
      <c r="FYY102" s="64"/>
      <c r="FYZ102" s="64"/>
      <c r="FZA102" s="64"/>
      <c r="FZB102" s="64"/>
      <c r="FZC102" s="64"/>
      <c r="FZD102" s="64"/>
      <c r="FZE102" s="64"/>
      <c r="FZF102" s="64"/>
      <c r="FZG102" s="64"/>
      <c r="FZH102" s="64"/>
      <c r="FZI102" s="64"/>
      <c r="FZJ102" s="64"/>
      <c r="FZK102" s="64"/>
      <c r="FZL102" s="64"/>
      <c r="FZM102" s="64"/>
      <c r="FZN102" s="64"/>
      <c r="FZO102" s="64"/>
      <c r="FZP102" s="64"/>
      <c r="FZQ102" s="64"/>
      <c r="FZR102" s="64"/>
      <c r="FZS102" s="64"/>
      <c r="FZT102" s="64"/>
      <c r="FZU102" s="64"/>
      <c r="FZV102" s="64"/>
      <c r="FZW102" s="64"/>
      <c r="FZX102" s="64"/>
      <c r="FZY102" s="64"/>
      <c r="FZZ102" s="64"/>
      <c r="GAA102" s="64"/>
      <c r="GAB102" s="64"/>
      <c r="GAC102" s="64"/>
      <c r="GAD102" s="64"/>
      <c r="GAE102" s="64"/>
      <c r="GAF102" s="64"/>
      <c r="GAG102" s="64"/>
      <c r="GAH102" s="64"/>
      <c r="GAI102" s="64"/>
      <c r="GAJ102" s="64"/>
      <c r="GAK102" s="64"/>
      <c r="GAL102" s="64"/>
      <c r="GAM102" s="64"/>
      <c r="GAN102" s="64"/>
      <c r="GAO102" s="64"/>
      <c r="GAP102" s="64"/>
      <c r="GAQ102" s="64"/>
      <c r="GAR102" s="64"/>
      <c r="GAS102" s="64"/>
      <c r="GAT102" s="64"/>
      <c r="GAU102" s="64"/>
      <c r="GAV102" s="64"/>
      <c r="GAW102" s="64"/>
      <c r="GAX102" s="64"/>
      <c r="GAY102" s="64"/>
      <c r="GAZ102" s="64"/>
      <c r="GBA102" s="64"/>
      <c r="GBB102" s="64"/>
      <c r="GBC102" s="64"/>
      <c r="GBD102" s="64"/>
      <c r="GBE102" s="64"/>
      <c r="GBF102" s="64"/>
      <c r="GBG102" s="64"/>
      <c r="GBH102" s="64"/>
      <c r="GBO102" s="64"/>
      <c r="GBP102" s="64"/>
      <c r="GBQ102" s="64"/>
      <c r="GBR102" s="64"/>
      <c r="GBS102" s="64"/>
      <c r="GBT102" s="64"/>
      <c r="GBU102" s="64"/>
      <c r="GBV102" s="64"/>
      <c r="GBW102" s="64"/>
      <c r="GBX102" s="64"/>
      <c r="GBY102" s="64"/>
      <c r="GBZ102" s="64"/>
      <c r="GCA102" s="64"/>
      <c r="GCB102" s="64"/>
      <c r="GCC102" s="64"/>
      <c r="GCD102" s="64"/>
      <c r="GCE102" s="64"/>
      <c r="GCF102" s="64"/>
      <c r="GCG102" s="64"/>
      <c r="GCH102" s="64"/>
      <c r="GCI102" s="64"/>
      <c r="GCJ102" s="64"/>
      <c r="GCK102" s="64"/>
      <c r="GCL102" s="64"/>
      <c r="GCM102" s="64"/>
      <c r="GCN102" s="64"/>
      <c r="GCO102" s="64"/>
      <c r="GCP102" s="64"/>
      <c r="GCQ102" s="64"/>
      <c r="GCR102" s="64"/>
      <c r="GCS102" s="64"/>
      <c r="GCT102" s="64"/>
      <c r="GCU102" s="64"/>
      <c r="GCV102" s="64"/>
      <c r="GCW102" s="64"/>
      <c r="GCX102" s="64"/>
      <c r="GCY102" s="64"/>
      <c r="GCZ102" s="64"/>
      <c r="GDA102" s="64"/>
      <c r="GDB102" s="64"/>
      <c r="GDC102" s="64"/>
      <c r="GDD102" s="64"/>
      <c r="GDE102" s="64"/>
      <c r="GDF102" s="64"/>
      <c r="GDG102" s="64"/>
      <c r="GDH102" s="64"/>
      <c r="GDI102" s="64"/>
      <c r="GDJ102" s="64"/>
      <c r="GDK102" s="64"/>
      <c r="GDL102" s="64"/>
      <c r="GDM102" s="64"/>
      <c r="GDN102" s="64"/>
      <c r="GDO102" s="64"/>
      <c r="GDP102" s="64"/>
      <c r="GDQ102" s="64"/>
      <c r="GDR102" s="64"/>
      <c r="GDS102" s="64"/>
      <c r="GDT102" s="64"/>
      <c r="GDU102" s="64"/>
      <c r="GDV102" s="64"/>
      <c r="GDW102" s="64"/>
      <c r="GDX102" s="64"/>
      <c r="GDY102" s="64"/>
      <c r="GDZ102" s="64"/>
      <c r="GEA102" s="64"/>
      <c r="GEB102" s="64"/>
      <c r="GEC102" s="64"/>
      <c r="GED102" s="64"/>
      <c r="GEE102" s="64"/>
      <c r="GEF102" s="64"/>
      <c r="GEG102" s="64"/>
      <c r="GEH102" s="64"/>
      <c r="GEI102" s="64"/>
      <c r="GEJ102" s="64"/>
      <c r="GEK102" s="64"/>
      <c r="GEL102" s="64"/>
      <c r="GEM102" s="64"/>
      <c r="GEN102" s="64"/>
      <c r="GEO102" s="64"/>
      <c r="GEP102" s="64"/>
      <c r="GEQ102" s="64"/>
      <c r="GER102" s="64"/>
      <c r="GES102" s="64"/>
      <c r="GET102" s="64"/>
      <c r="GEU102" s="64"/>
      <c r="GEV102" s="64"/>
      <c r="GEW102" s="64"/>
      <c r="GEX102" s="64"/>
      <c r="GEY102" s="64"/>
      <c r="GEZ102" s="64"/>
      <c r="GFA102" s="64"/>
      <c r="GFB102" s="64"/>
      <c r="GFC102" s="64"/>
      <c r="GFD102" s="64"/>
      <c r="GFE102" s="64"/>
      <c r="GFF102" s="64"/>
      <c r="GFG102" s="64"/>
      <c r="GFH102" s="64"/>
      <c r="GFI102" s="64"/>
      <c r="GFJ102" s="64"/>
      <c r="GFK102" s="64"/>
      <c r="GFL102" s="64"/>
      <c r="GFM102" s="64"/>
      <c r="GFN102" s="64"/>
      <c r="GFO102" s="64"/>
      <c r="GFP102" s="64"/>
      <c r="GFQ102" s="64"/>
      <c r="GFR102" s="64"/>
      <c r="GFS102" s="64"/>
      <c r="GFT102" s="64"/>
      <c r="GFU102" s="64"/>
      <c r="GFV102" s="64"/>
      <c r="GFW102" s="64"/>
      <c r="GFX102" s="64"/>
      <c r="GFY102" s="64"/>
      <c r="GFZ102" s="64"/>
      <c r="GGA102" s="64"/>
      <c r="GGB102" s="64"/>
      <c r="GGC102" s="64"/>
      <c r="GGD102" s="64"/>
      <c r="GGE102" s="64"/>
      <c r="GGF102" s="64"/>
      <c r="GGG102" s="64"/>
      <c r="GGH102" s="64"/>
      <c r="GGI102" s="64"/>
      <c r="GGJ102" s="64"/>
      <c r="GGK102" s="64"/>
      <c r="GGL102" s="64"/>
      <c r="GGM102" s="64"/>
      <c r="GGN102" s="64"/>
      <c r="GGO102" s="64"/>
      <c r="GGP102" s="64"/>
      <c r="GGQ102" s="64"/>
      <c r="GGR102" s="64"/>
      <c r="GGS102" s="64"/>
      <c r="GGT102" s="64"/>
      <c r="GGU102" s="64"/>
      <c r="GGV102" s="64"/>
      <c r="GGW102" s="64"/>
      <c r="GGX102" s="64"/>
      <c r="GGY102" s="64"/>
      <c r="GGZ102" s="64"/>
      <c r="GHA102" s="64"/>
      <c r="GHB102" s="64"/>
      <c r="GHC102" s="64"/>
      <c r="GHD102" s="64"/>
      <c r="GHE102" s="64"/>
      <c r="GHF102" s="64"/>
      <c r="GHG102" s="64"/>
      <c r="GHH102" s="64"/>
      <c r="GHI102" s="64"/>
      <c r="GHJ102" s="64"/>
      <c r="GHK102" s="64"/>
      <c r="GHL102" s="64"/>
      <c r="GHM102" s="64"/>
      <c r="GHN102" s="64"/>
      <c r="GHO102" s="64"/>
      <c r="GHP102" s="64"/>
      <c r="GHQ102" s="64"/>
      <c r="GHR102" s="64"/>
      <c r="GHS102" s="64"/>
      <c r="GHT102" s="64"/>
      <c r="GHU102" s="64"/>
      <c r="GHV102" s="64"/>
      <c r="GHW102" s="64"/>
      <c r="GHX102" s="64"/>
      <c r="GHY102" s="64"/>
      <c r="GHZ102" s="64"/>
      <c r="GIA102" s="64"/>
      <c r="GIB102" s="64"/>
      <c r="GIC102" s="64"/>
      <c r="GID102" s="64"/>
      <c r="GIE102" s="64"/>
      <c r="GIF102" s="64"/>
      <c r="GIG102" s="64"/>
      <c r="GIH102" s="64"/>
      <c r="GII102" s="64"/>
      <c r="GIJ102" s="64"/>
      <c r="GIK102" s="64"/>
      <c r="GIL102" s="64"/>
      <c r="GIM102" s="64"/>
      <c r="GIN102" s="64"/>
      <c r="GIO102" s="64"/>
      <c r="GIP102" s="64"/>
      <c r="GIQ102" s="64"/>
      <c r="GIR102" s="64"/>
      <c r="GIS102" s="64"/>
      <c r="GIT102" s="64"/>
      <c r="GIU102" s="64"/>
      <c r="GIV102" s="64"/>
      <c r="GIW102" s="64"/>
      <c r="GIX102" s="64"/>
      <c r="GIY102" s="64"/>
      <c r="GIZ102" s="64"/>
      <c r="GJA102" s="64"/>
      <c r="GJB102" s="64"/>
      <c r="GJC102" s="64"/>
      <c r="GJD102" s="64"/>
      <c r="GJE102" s="64"/>
      <c r="GJF102" s="64"/>
      <c r="GJG102" s="64"/>
      <c r="GJH102" s="64"/>
      <c r="GJI102" s="64"/>
      <c r="GJJ102" s="64"/>
      <c r="GJK102" s="64"/>
      <c r="GJL102" s="64"/>
      <c r="GJM102" s="64"/>
      <c r="GJN102" s="64"/>
      <c r="GJO102" s="64"/>
      <c r="GJP102" s="64"/>
      <c r="GJQ102" s="64"/>
      <c r="GJR102" s="64"/>
      <c r="GJS102" s="64"/>
      <c r="GJT102" s="64"/>
      <c r="GJU102" s="64"/>
      <c r="GJV102" s="64"/>
      <c r="GJW102" s="64"/>
      <c r="GJX102" s="64"/>
      <c r="GJY102" s="64"/>
      <c r="GJZ102" s="64"/>
      <c r="GKA102" s="64"/>
      <c r="GKB102" s="64"/>
      <c r="GKC102" s="64"/>
      <c r="GKD102" s="64"/>
      <c r="GKE102" s="64"/>
      <c r="GKF102" s="64"/>
      <c r="GKG102" s="64"/>
      <c r="GKH102" s="64"/>
      <c r="GKI102" s="64"/>
      <c r="GKJ102" s="64"/>
      <c r="GKK102" s="64"/>
      <c r="GKL102" s="64"/>
      <c r="GKM102" s="64"/>
      <c r="GKN102" s="64"/>
      <c r="GKO102" s="64"/>
      <c r="GKP102" s="64"/>
      <c r="GKQ102" s="64"/>
      <c r="GKR102" s="64"/>
      <c r="GKS102" s="64"/>
      <c r="GKT102" s="64"/>
      <c r="GKU102" s="64"/>
      <c r="GKV102" s="64"/>
      <c r="GKW102" s="64"/>
      <c r="GKX102" s="64"/>
      <c r="GKY102" s="64"/>
      <c r="GKZ102" s="64"/>
      <c r="GLA102" s="64"/>
      <c r="GLB102" s="64"/>
      <c r="GLC102" s="64"/>
      <c r="GLD102" s="64"/>
      <c r="GLK102" s="64"/>
      <c r="GLL102" s="64"/>
      <c r="GLM102" s="64"/>
      <c r="GLN102" s="64"/>
      <c r="GLO102" s="64"/>
      <c r="GLP102" s="64"/>
      <c r="GLQ102" s="64"/>
      <c r="GLR102" s="64"/>
      <c r="GLS102" s="64"/>
      <c r="GLT102" s="64"/>
      <c r="GLU102" s="64"/>
      <c r="GLV102" s="64"/>
      <c r="GLW102" s="64"/>
      <c r="GLX102" s="64"/>
      <c r="GLY102" s="64"/>
      <c r="GLZ102" s="64"/>
      <c r="GMA102" s="64"/>
      <c r="GMB102" s="64"/>
      <c r="GMC102" s="64"/>
      <c r="GMD102" s="64"/>
      <c r="GME102" s="64"/>
      <c r="GMF102" s="64"/>
      <c r="GMG102" s="64"/>
      <c r="GMH102" s="64"/>
      <c r="GMI102" s="64"/>
      <c r="GMJ102" s="64"/>
      <c r="GMK102" s="64"/>
      <c r="GML102" s="64"/>
      <c r="GMM102" s="64"/>
      <c r="GMN102" s="64"/>
      <c r="GMO102" s="64"/>
      <c r="GMP102" s="64"/>
      <c r="GMQ102" s="64"/>
      <c r="GMR102" s="64"/>
      <c r="GMS102" s="64"/>
      <c r="GMT102" s="64"/>
      <c r="GMU102" s="64"/>
      <c r="GMV102" s="64"/>
      <c r="GMW102" s="64"/>
      <c r="GMX102" s="64"/>
      <c r="GMY102" s="64"/>
      <c r="GMZ102" s="64"/>
      <c r="GNA102" s="64"/>
      <c r="GNB102" s="64"/>
      <c r="GNC102" s="64"/>
      <c r="GND102" s="64"/>
      <c r="GNE102" s="64"/>
      <c r="GNF102" s="64"/>
      <c r="GNG102" s="64"/>
      <c r="GNH102" s="64"/>
      <c r="GNI102" s="64"/>
      <c r="GNJ102" s="64"/>
      <c r="GNK102" s="64"/>
      <c r="GNL102" s="64"/>
      <c r="GNM102" s="64"/>
      <c r="GNN102" s="64"/>
      <c r="GNO102" s="64"/>
      <c r="GNP102" s="64"/>
      <c r="GNQ102" s="64"/>
      <c r="GNR102" s="64"/>
      <c r="GNS102" s="64"/>
      <c r="GNT102" s="64"/>
      <c r="GNU102" s="64"/>
      <c r="GNV102" s="64"/>
      <c r="GNW102" s="64"/>
      <c r="GNX102" s="64"/>
      <c r="GNY102" s="64"/>
      <c r="GNZ102" s="64"/>
      <c r="GOA102" s="64"/>
      <c r="GOB102" s="64"/>
      <c r="GOC102" s="64"/>
      <c r="GOD102" s="64"/>
      <c r="GOE102" s="64"/>
      <c r="GOF102" s="64"/>
      <c r="GOG102" s="64"/>
      <c r="GOH102" s="64"/>
      <c r="GOI102" s="64"/>
      <c r="GOJ102" s="64"/>
      <c r="GOK102" s="64"/>
      <c r="GOL102" s="64"/>
      <c r="GOM102" s="64"/>
      <c r="GON102" s="64"/>
      <c r="GOO102" s="64"/>
      <c r="GOP102" s="64"/>
      <c r="GOQ102" s="64"/>
      <c r="GOR102" s="64"/>
      <c r="GOS102" s="64"/>
      <c r="GOT102" s="64"/>
      <c r="GOU102" s="64"/>
      <c r="GOV102" s="64"/>
      <c r="GOW102" s="64"/>
      <c r="GOX102" s="64"/>
      <c r="GOY102" s="64"/>
      <c r="GOZ102" s="64"/>
      <c r="GPA102" s="64"/>
      <c r="GPB102" s="64"/>
      <c r="GPC102" s="64"/>
      <c r="GPD102" s="64"/>
      <c r="GPE102" s="64"/>
      <c r="GPF102" s="64"/>
      <c r="GPG102" s="64"/>
      <c r="GPH102" s="64"/>
      <c r="GPI102" s="64"/>
      <c r="GPJ102" s="64"/>
      <c r="GPK102" s="64"/>
      <c r="GPL102" s="64"/>
      <c r="GPM102" s="64"/>
      <c r="GPN102" s="64"/>
      <c r="GPO102" s="64"/>
      <c r="GPP102" s="64"/>
      <c r="GPQ102" s="64"/>
      <c r="GPR102" s="64"/>
      <c r="GPS102" s="64"/>
      <c r="GPT102" s="64"/>
      <c r="GPU102" s="64"/>
      <c r="GPV102" s="64"/>
      <c r="GPW102" s="64"/>
      <c r="GPX102" s="64"/>
      <c r="GPY102" s="64"/>
      <c r="GPZ102" s="64"/>
      <c r="GQA102" s="64"/>
      <c r="GQB102" s="64"/>
      <c r="GQC102" s="64"/>
      <c r="GQD102" s="64"/>
      <c r="GQE102" s="64"/>
      <c r="GQF102" s="64"/>
      <c r="GQG102" s="64"/>
      <c r="GQH102" s="64"/>
      <c r="GQI102" s="64"/>
      <c r="GQJ102" s="64"/>
      <c r="GQK102" s="64"/>
      <c r="GQL102" s="64"/>
      <c r="GQM102" s="64"/>
      <c r="GQN102" s="64"/>
      <c r="GQO102" s="64"/>
      <c r="GQP102" s="64"/>
      <c r="GQQ102" s="64"/>
      <c r="GQR102" s="64"/>
      <c r="GQS102" s="64"/>
      <c r="GQT102" s="64"/>
      <c r="GQU102" s="64"/>
      <c r="GQV102" s="64"/>
      <c r="GQW102" s="64"/>
      <c r="GQX102" s="64"/>
      <c r="GQY102" s="64"/>
      <c r="GQZ102" s="64"/>
      <c r="GRA102" s="64"/>
      <c r="GRB102" s="64"/>
      <c r="GRC102" s="64"/>
      <c r="GRD102" s="64"/>
      <c r="GRE102" s="64"/>
      <c r="GRF102" s="64"/>
      <c r="GRG102" s="64"/>
      <c r="GRH102" s="64"/>
      <c r="GRI102" s="64"/>
      <c r="GRJ102" s="64"/>
      <c r="GRK102" s="64"/>
      <c r="GRL102" s="64"/>
      <c r="GRM102" s="64"/>
      <c r="GRN102" s="64"/>
      <c r="GRO102" s="64"/>
      <c r="GRP102" s="64"/>
      <c r="GRQ102" s="64"/>
      <c r="GRR102" s="64"/>
      <c r="GRS102" s="64"/>
      <c r="GRT102" s="64"/>
      <c r="GRU102" s="64"/>
      <c r="GRV102" s="64"/>
      <c r="GRW102" s="64"/>
      <c r="GRX102" s="64"/>
      <c r="GRY102" s="64"/>
      <c r="GRZ102" s="64"/>
      <c r="GSA102" s="64"/>
      <c r="GSB102" s="64"/>
      <c r="GSC102" s="64"/>
      <c r="GSD102" s="64"/>
      <c r="GSE102" s="64"/>
      <c r="GSF102" s="64"/>
      <c r="GSG102" s="64"/>
      <c r="GSH102" s="64"/>
      <c r="GSI102" s="64"/>
      <c r="GSJ102" s="64"/>
      <c r="GSK102" s="64"/>
      <c r="GSL102" s="64"/>
      <c r="GSM102" s="64"/>
      <c r="GSN102" s="64"/>
      <c r="GSO102" s="64"/>
      <c r="GSP102" s="64"/>
      <c r="GSQ102" s="64"/>
      <c r="GSR102" s="64"/>
      <c r="GSS102" s="64"/>
      <c r="GST102" s="64"/>
      <c r="GSU102" s="64"/>
      <c r="GSV102" s="64"/>
      <c r="GSW102" s="64"/>
      <c r="GSX102" s="64"/>
      <c r="GSY102" s="64"/>
      <c r="GSZ102" s="64"/>
      <c r="GTA102" s="64"/>
      <c r="GTB102" s="64"/>
      <c r="GTC102" s="64"/>
      <c r="GTD102" s="64"/>
      <c r="GTE102" s="64"/>
      <c r="GTF102" s="64"/>
      <c r="GTG102" s="64"/>
      <c r="GTH102" s="64"/>
      <c r="GTI102" s="64"/>
      <c r="GTJ102" s="64"/>
      <c r="GTK102" s="64"/>
      <c r="GTL102" s="64"/>
      <c r="GTM102" s="64"/>
      <c r="GTN102" s="64"/>
      <c r="GTO102" s="64"/>
      <c r="GTP102" s="64"/>
      <c r="GTQ102" s="64"/>
      <c r="GTR102" s="64"/>
      <c r="GTS102" s="64"/>
      <c r="GTT102" s="64"/>
      <c r="GTU102" s="64"/>
      <c r="GTV102" s="64"/>
      <c r="GTW102" s="64"/>
      <c r="GTX102" s="64"/>
      <c r="GTY102" s="64"/>
      <c r="GTZ102" s="64"/>
      <c r="GUA102" s="64"/>
      <c r="GUB102" s="64"/>
      <c r="GUC102" s="64"/>
      <c r="GUD102" s="64"/>
      <c r="GUE102" s="64"/>
      <c r="GUF102" s="64"/>
      <c r="GUG102" s="64"/>
      <c r="GUH102" s="64"/>
      <c r="GUI102" s="64"/>
      <c r="GUJ102" s="64"/>
      <c r="GUK102" s="64"/>
      <c r="GUL102" s="64"/>
      <c r="GUM102" s="64"/>
      <c r="GUN102" s="64"/>
      <c r="GUO102" s="64"/>
      <c r="GUP102" s="64"/>
      <c r="GUQ102" s="64"/>
      <c r="GUR102" s="64"/>
      <c r="GUS102" s="64"/>
      <c r="GUT102" s="64"/>
      <c r="GUU102" s="64"/>
      <c r="GUV102" s="64"/>
      <c r="GUW102" s="64"/>
      <c r="GUX102" s="64"/>
      <c r="GUY102" s="64"/>
      <c r="GUZ102" s="64"/>
      <c r="GVG102" s="64"/>
      <c r="GVH102" s="64"/>
      <c r="GVI102" s="64"/>
      <c r="GVJ102" s="64"/>
      <c r="GVK102" s="64"/>
      <c r="GVL102" s="64"/>
      <c r="GVM102" s="64"/>
      <c r="GVN102" s="64"/>
      <c r="GVO102" s="64"/>
      <c r="GVP102" s="64"/>
      <c r="GVQ102" s="64"/>
      <c r="GVR102" s="64"/>
      <c r="GVS102" s="64"/>
      <c r="GVT102" s="64"/>
      <c r="GVU102" s="64"/>
      <c r="GVV102" s="64"/>
      <c r="GVW102" s="64"/>
      <c r="GVX102" s="64"/>
      <c r="GVY102" s="64"/>
      <c r="GVZ102" s="64"/>
      <c r="GWA102" s="64"/>
      <c r="GWB102" s="64"/>
      <c r="GWC102" s="64"/>
      <c r="GWD102" s="64"/>
      <c r="GWE102" s="64"/>
      <c r="GWF102" s="64"/>
      <c r="GWG102" s="64"/>
      <c r="GWH102" s="64"/>
      <c r="GWI102" s="64"/>
      <c r="GWJ102" s="64"/>
      <c r="GWK102" s="64"/>
      <c r="GWL102" s="64"/>
      <c r="GWM102" s="64"/>
      <c r="GWN102" s="64"/>
      <c r="GWO102" s="64"/>
      <c r="GWP102" s="64"/>
      <c r="GWQ102" s="64"/>
      <c r="GWR102" s="64"/>
      <c r="GWS102" s="64"/>
      <c r="GWT102" s="64"/>
      <c r="GWU102" s="64"/>
      <c r="GWV102" s="64"/>
      <c r="GWW102" s="64"/>
      <c r="GWX102" s="64"/>
      <c r="GWY102" s="64"/>
      <c r="GWZ102" s="64"/>
      <c r="GXA102" s="64"/>
      <c r="GXB102" s="64"/>
      <c r="GXC102" s="64"/>
      <c r="GXD102" s="64"/>
      <c r="GXE102" s="64"/>
      <c r="GXF102" s="64"/>
      <c r="GXG102" s="64"/>
      <c r="GXH102" s="64"/>
      <c r="GXI102" s="64"/>
      <c r="GXJ102" s="64"/>
      <c r="GXK102" s="64"/>
      <c r="GXL102" s="64"/>
      <c r="GXM102" s="64"/>
      <c r="GXN102" s="64"/>
      <c r="GXO102" s="64"/>
      <c r="GXP102" s="64"/>
      <c r="GXQ102" s="64"/>
      <c r="GXR102" s="64"/>
      <c r="GXS102" s="64"/>
      <c r="GXT102" s="64"/>
      <c r="GXU102" s="64"/>
      <c r="GXV102" s="64"/>
      <c r="GXW102" s="64"/>
      <c r="GXX102" s="64"/>
      <c r="GXY102" s="64"/>
      <c r="GXZ102" s="64"/>
      <c r="GYA102" s="64"/>
      <c r="GYB102" s="64"/>
      <c r="GYC102" s="64"/>
      <c r="GYD102" s="64"/>
      <c r="GYE102" s="64"/>
      <c r="GYF102" s="64"/>
      <c r="GYG102" s="64"/>
      <c r="GYH102" s="64"/>
      <c r="GYI102" s="64"/>
      <c r="GYJ102" s="64"/>
      <c r="GYK102" s="64"/>
      <c r="GYL102" s="64"/>
      <c r="GYM102" s="64"/>
      <c r="GYN102" s="64"/>
      <c r="GYO102" s="64"/>
      <c r="GYP102" s="64"/>
      <c r="GYQ102" s="64"/>
      <c r="GYR102" s="64"/>
      <c r="GYS102" s="64"/>
      <c r="GYT102" s="64"/>
      <c r="GYU102" s="64"/>
      <c r="GYV102" s="64"/>
      <c r="GYW102" s="64"/>
      <c r="GYX102" s="64"/>
      <c r="GYY102" s="64"/>
      <c r="GYZ102" s="64"/>
      <c r="GZA102" s="64"/>
      <c r="GZB102" s="64"/>
      <c r="GZC102" s="64"/>
      <c r="GZD102" s="64"/>
      <c r="GZE102" s="64"/>
      <c r="GZF102" s="64"/>
      <c r="GZG102" s="64"/>
      <c r="GZH102" s="64"/>
      <c r="GZI102" s="64"/>
      <c r="GZJ102" s="64"/>
      <c r="GZK102" s="64"/>
      <c r="GZL102" s="64"/>
      <c r="GZM102" s="64"/>
      <c r="GZN102" s="64"/>
      <c r="GZO102" s="64"/>
      <c r="GZP102" s="64"/>
      <c r="GZQ102" s="64"/>
      <c r="GZR102" s="64"/>
      <c r="GZS102" s="64"/>
      <c r="GZT102" s="64"/>
      <c r="GZU102" s="64"/>
      <c r="GZV102" s="64"/>
      <c r="GZW102" s="64"/>
      <c r="GZX102" s="64"/>
      <c r="GZY102" s="64"/>
      <c r="GZZ102" s="64"/>
      <c r="HAA102" s="64"/>
      <c r="HAB102" s="64"/>
      <c r="HAC102" s="64"/>
      <c r="HAD102" s="64"/>
      <c r="HAE102" s="64"/>
      <c r="HAF102" s="64"/>
      <c r="HAG102" s="64"/>
      <c r="HAH102" s="64"/>
      <c r="HAI102" s="64"/>
      <c r="HAJ102" s="64"/>
      <c r="HAK102" s="64"/>
      <c r="HAL102" s="64"/>
      <c r="HAM102" s="64"/>
      <c r="HAN102" s="64"/>
      <c r="HAO102" s="64"/>
      <c r="HAP102" s="64"/>
      <c r="HAQ102" s="64"/>
      <c r="HAR102" s="64"/>
      <c r="HAS102" s="64"/>
      <c r="HAT102" s="64"/>
      <c r="HAU102" s="64"/>
      <c r="HAV102" s="64"/>
      <c r="HAW102" s="64"/>
      <c r="HAX102" s="64"/>
      <c r="HAY102" s="64"/>
      <c r="HAZ102" s="64"/>
      <c r="HBA102" s="64"/>
      <c r="HBB102" s="64"/>
      <c r="HBC102" s="64"/>
      <c r="HBD102" s="64"/>
      <c r="HBE102" s="64"/>
      <c r="HBF102" s="64"/>
      <c r="HBG102" s="64"/>
      <c r="HBH102" s="64"/>
      <c r="HBI102" s="64"/>
      <c r="HBJ102" s="64"/>
      <c r="HBK102" s="64"/>
      <c r="HBL102" s="64"/>
      <c r="HBM102" s="64"/>
      <c r="HBN102" s="64"/>
      <c r="HBO102" s="64"/>
      <c r="HBP102" s="64"/>
      <c r="HBQ102" s="64"/>
      <c r="HBR102" s="64"/>
      <c r="HBS102" s="64"/>
      <c r="HBT102" s="64"/>
      <c r="HBU102" s="64"/>
      <c r="HBV102" s="64"/>
      <c r="HBW102" s="64"/>
      <c r="HBX102" s="64"/>
      <c r="HBY102" s="64"/>
      <c r="HBZ102" s="64"/>
      <c r="HCA102" s="64"/>
      <c r="HCB102" s="64"/>
      <c r="HCC102" s="64"/>
      <c r="HCD102" s="64"/>
      <c r="HCE102" s="64"/>
      <c r="HCF102" s="64"/>
      <c r="HCG102" s="64"/>
      <c r="HCH102" s="64"/>
      <c r="HCI102" s="64"/>
      <c r="HCJ102" s="64"/>
      <c r="HCK102" s="64"/>
      <c r="HCL102" s="64"/>
      <c r="HCM102" s="64"/>
      <c r="HCN102" s="64"/>
      <c r="HCO102" s="64"/>
      <c r="HCP102" s="64"/>
      <c r="HCQ102" s="64"/>
      <c r="HCR102" s="64"/>
      <c r="HCS102" s="64"/>
      <c r="HCT102" s="64"/>
      <c r="HCU102" s="64"/>
      <c r="HCV102" s="64"/>
      <c r="HCW102" s="64"/>
      <c r="HCX102" s="64"/>
      <c r="HCY102" s="64"/>
      <c r="HCZ102" s="64"/>
      <c r="HDA102" s="64"/>
      <c r="HDB102" s="64"/>
      <c r="HDC102" s="64"/>
      <c r="HDD102" s="64"/>
      <c r="HDE102" s="64"/>
      <c r="HDF102" s="64"/>
      <c r="HDG102" s="64"/>
      <c r="HDH102" s="64"/>
      <c r="HDI102" s="64"/>
      <c r="HDJ102" s="64"/>
      <c r="HDK102" s="64"/>
      <c r="HDL102" s="64"/>
      <c r="HDM102" s="64"/>
      <c r="HDN102" s="64"/>
      <c r="HDO102" s="64"/>
      <c r="HDP102" s="64"/>
      <c r="HDQ102" s="64"/>
      <c r="HDR102" s="64"/>
      <c r="HDS102" s="64"/>
      <c r="HDT102" s="64"/>
      <c r="HDU102" s="64"/>
      <c r="HDV102" s="64"/>
      <c r="HDW102" s="64"/>
      <c r="HDX102" s="64"/>
      <c r="HDY102" s="64"/>
      <c r="HDZ102" s="64"/>
      <c r="HEA102" s="64"/>
      <c r="HEB102" s="64"/>
      <c r="HEC102" s="64"/>
      <c r="HED102" s="64"/>
      <c r="HEE102" s="64"/>
      <c r="HEF102" s="64"/>
      <c r="HEG102" s="64"/>
      <c r="HEH102" s="64"/>
      <c r="HEI102" s="64"/>
      <c r="HEJ102" s="64"/>
      <c r="HEK102" s="64"/>
      <c r="HEL102" s="64"/>
      <c r="HEM102" s="64"/>
      <c r="HEN102" s="64"/>
      <c r="HEO102" s="64"/>
      <c r="HEP102" s="64"/>
      <c r="HEQ102" s="64"/>
      <c r="HER102" s="64"/>
      <c r="HES102" s="64"/>
      <c r="HET102" s="64"/>
      <c r="HEU102" s="64"/>
      <c r="HEV102" s="64"/>
      <c r="HFC102" s="64"/>
      <c r="HFD102" s="64"/>
      <c r="HFE102" s="64"/>
      <c r="HFF102" s="64"/>
      <c r="HFG102" s="64"/>
      <c r="HFH102" s="64"/>
      <c r="HFI102" s="64"/>
      <c r="HFJ102" s="64"/>
      <c r="HFK102" s="64"/>
      <c r="HFL102" s="64"/>
      <c r="HFM102" s="64"/>
      <c r="HFN102" s="64"/>
      <c r="HFO102" s="64"/>
      <c r="HFP102" s="64"/>
      <c r="HFQ102" s="64"/>
      <c r="HFR102" s="64"/>
      <c r="HFS102" s="64"/>
      <c r="HFT102" s="64"/>
      <c r="HFU102" s="64"/>
      <c r="HFV102" s="64"/>
      <c r="HFW102" s="64"/>
      <c r="HFX102" s="64"/>
      <c r="HFY102" s="64"/>
      <c r="HFZ102" s="64"/>
      <c r="HGA102" s="64"/>
      <c r="HGB102" s="64"/>
      <c r="HGC102" s="64"/>
      <c r="HGD102" s="64"/>
      <c r="HGE102" s="64"/>
      <c r="HGF102" s="64"/>
      <c r="HGG102" s="64"/>
      <c r="HGH102" s="64"/>
      <c r="HGI102" s="64"/>
      <c r="HGJ102" s="64"/>
      <c r="HGK102" s="64"/>
      <c r="HGL102" s="64"/>
      <c r="HGM102" s="64"/>
      <c r="HGN102" s="64"/>
      <c r="HGO102" s="64"/>
      <c r="HGP102" s="64"/>
      <c r="HGQ102" s="64"/>
      <c r="HGR102" s="64"/>
      <c r="HGS102" s="64"/>
      <c r="HGT102" s="64"/>
      <c r="HGU102" s="64"/>
      <c r="HGV102" s="64"/>
      <c r="HGW102" s="64"/>
      <c r="HGX102" s="64"/>
      <c r="HGY102" s="64"/>
      <c r="HGZ102" s="64"/>
      <c r="HHA102" s="64"/>
      <c r="HHB102" s="64"/>
      <c r="HHC102" s="64"/>
      <c r="HHD102" s="64"/>
      <c r="HHE102" s="64"/>
      <c r="HHF102" s="64"/>
      <c r="HHG102" s="64"/>
      <c r="HHH102" s="64"/>
      <c r="HHI102" s="64"/>
      <c r="HHJ102" s="64"/>
      <c r="HHK102" s="64"/>
      <c r="HHL102" s="64"/>
      <c r="HHM102" s="64"/>
      <c r="HHN102" s="64"/>
      <c r="HHO102" s="64"/>
      <c r="HHP102" s="64"/>
      <c r="HHQ102" s="64"/>
      <c r="HHR102" s="64"/>
      <c r="HHS102" s="64"/>
      <c r="HHT102" s="64"/>
      <c r="HHU102" s="64"/>
      <c r="HHV102" s="64"/>
      <c r="HHW102" s="64"/>
      <c r="HHX102" s="64"/>
      <c r="HHY102" s="64"/>
      <c r="HHZ102" s="64"/>
      <c r="HIA102" s="64"/>
      <c r="HIB102" s="64"/>
      <c r="HIC102" s="64"/>
      <c r="HID102" s="64"/>
      <c r="HIE102" s="64"/>
      <c r="HIF102" s="64"/>
      <c r="HIG102" s="64"/>
      <c r="HIH102" s="64"/>
      <c r="HII102" s="64"/>
      <c r="HIJ102" s="64"/>
      <c r="HIK102" s="64"/>
      <c r="HIL102" s="64"/>
      <c r="HIM102" s="64"/>
      <c r="HIN102" s="64"/>
      <c r="HIO102" s="64"/>
      <c r="HIP102" s="64"/>
      <c r="HIQ102" s="64"/>
      <c r="HIR102" s="64"/>
      <c r="HIS102" s="64"/>
      <c r="HIT102" s="64"/>
      <c r="HIU102" s="64"/>
      <c r="HIV102" s="64"/>
      <c r="HIW102" s="64"/>
      <c r="HIX102" s="64"/>
      <c r="HIY102" s="64"/>
      <c r="HIZ102" s="64"/>
      <c r="HJA102" s="64"/>
      <c r="HJB102" s="64"/>
      <c r="HJC102" s="64"/>
      <c r="HJD102" s="64"/>
      <c r="HJE102" s="64"/>
      <c r="HJF102" s="64"/>
      <c r="HJG102" s="64"/>
      <c r="HJH102" s="64"/>
      <c r="HJI102" s="64"/>
      <c r="HJJ102" s="64"/>
      <c r="HJK102" s="64"/>
      <c r="HJL102" s="64"/>
      <c r="HJM102" s="64"/>
      <c r="HJN102" s="64"/>
      <c r="HJO102" s="64"/>
      <c r="HJP102" s="64"/>
      <c r="HJQ102" s="64"/>
      <c r="HJR102" s="64"/>
      <c r="HJS102" s="64"/>
      <c r="HJT102" s="64"/>
      <c r="HJU102" s="64"/>
      <c r="HJV102" s="64"/>
      <c r="HJW102" s="64"/>
      <c r="HJX102" s="64"/>
      <c r="HJY102" s="64"/>
      <c r="HJZ102" s="64"/>
      <c r="HKA102" s="64"/>
      <c r="HKB102" s="64"/>
      <c r="HKC102" s="64"/>
      <c r="HKD102" s="64"/>
      <c r="HKE102" s="64"/>
      <c r="HKF102" s="64"/>
      <c r="HKG102" s="64"/>
      <c r="HKH102" s="64"/>
      <c r="HKI102" s="64"/>
      <c r="HKJ102" s="64"/>
      <c r="HKK102" s="64"/>
      <c r="HKL102" s="64"/>
      <c r="HKM102" s="64"/>
      <c r="HKN102" s="64"/>
      <c r="HKO102" s="64"/>
      <c r="HKP102" s="64"/>
      <c r="HKQ102" s="64"/>
      <c r="HKR102" s="64"/>
      <c r="HKS102" s="64"/>
      <c r="HKT102" s="64"/>
      <c r="HKU102" s="64"/>
      <c r="HKV102" s="64"/>
      <c r="HKW102" s="64"/>
      <c r="HKX102" s="64"/>
      <c r="HKY102" s="64"/>
      <c r="HKZ102" s="64"/>
      <c r="HLA102" s="64"/>
      <c r="HLB102" s="64"/>
      <c r="HLC102" s="64"/>
      <c r="HLD102" s="64"/>
      <c r="HLE102" s="64"/>
      <c r="HLF102" s="64"/>
      <c r="HLG102" s="64"/>
      <c r="HLH102" s="64"/>
      <c r="HLI102" s="64"/>
      <c r="HLJ102" s="64"/>
      <c r="HLK102" s="64"/>
      <c r="HLL102" s="64"/>
      <c r="HLM102" s="64"/>
      <c r="HLN102" s="64"/>
      <c r="HLO102" s="64"/>
      <c r="HLP102" s="64"/>
      <c r="HLQ102" s="64"/>
      <c r="HLR102" s="64"/>
      <c r="HLS102" s="64"/>
      <c r="HLT102" s="64"/>
      <c r="HLU102" s="64"/>
      <c r="HLV102" s="64"/>
      <c r="HLW102" s="64"/>
      <c r="HLX102" s="64"/>
      <c r="HLY102" s="64"/>
      <c r="HLZ102" s="64"/>
      <c r="HMA102" s="64"/>
      <c r="HMB102" s="64"/>
      <c r="HMC102" s="64"/>
      <c r="HMD102" s="64"/>
      <c r="HME102" s="64"/>
      <c r="HMF102" s="64"/>
      <c r="HMG102" s="64"/>
      <c r="HMH102" s="64"/>
      <c r="HMI102" s="64"/>
      <c r="HMJ102" s="64"/>
      <c r="HMK102" s="64"/>
      <c r="HML102" s="64"/>
      <c r="HMM102" s="64"/>
      <c r="HMN102" s="64"/>
      <c r="HMO102" s="64"/>
      <c r="HMP102" s="64"/>
      <c r="HMQ102" s="64"/>
      <c r="HMR102" s="64"/>
      <c r="HMS102" s="64"/>
      <c r="HMT102" s="64"/>
      <c r="HMU102" s="64"/>
      <c r="HMV102" s="64"/>
      <c r="HMW102" s="64"/>
      <c r="HMX102" s="64"/>
      <c r="HMY102" s="64"/>
      <c r="HMZ102" s="64"/>
      <c r="HNA102" s="64"/>
      <c r="HNB102" s="64"/>
      <c r="HNC102" s="64"/>
      <c r="HND102" s="64"/>
      <c r="HNE102" s="64"/>
      <c r="HNF102" s="64"/>
      <c r="HNG102" s="64"/>
      <c r="HNH102" s="64"/>
      <c r="HNI102" s="64"/>
      <c r="HNJ102" s="64"/>
      <c r="HNK102" s="64"/>
      <c r="HNL102" s="64"/>
      <c r="HNM102" s="64"/>
      <c r="HNN102" s="64"/>
      <c r="HNO102" s="64"/>
      <c r="HNP102" s="64"/>
      <c r="HNQ102" s="64"/>
      <c r="HNR102" s="64"/>
      <c r="HNS102" s="64"/>
      <c r="HNT102" s="64"/>
      <c r="HNU102" s="64"/>
      <c r="HNV102" s="64"/>
      <c r="HNW102" s="64"/>
      <c r="HNX102" s="64"/>
      <c r="HNY102" s="64"/>
      <c r="HNZ102" s="64"/>
      <c r="HOA102" s="64"/>
      <c r="HOB102" s="64"/>
      <c r="HOC102" s="64"/>
      <c r="HOD102" s="64"/>
      <c r="HOE102" s="64"/>
      <c r="HOF102" s="64"/>
      <c r="HOG102" s="64"/>
      <c r="HOH102" s="64"/>
      <c r="HOI102" s="64"/>
      <c r="HOJ102" s="64"/>
      <c r="HOK102" s="64"/>
      <c r="HOL102" s="64"/>
      <c r="HOM102" s="64"/>
      <c r="HON102" s="64"/>
      <c r="HOO102" s="64"/>
      <c r="HOP102" s="64"/>
      <c r="HOQ102" s="64"/>
      <c r="HOR102" s="64"/>
      <c r="HOY102" s="64"/>
      <c r="HOZ102" s="64"/>
      <c r="HPA102" s="64"/>
      <c r="HPB102" s="64"/>
      <c r="HPC102" s="64"/>
      <c r="HPD102" s="64"/>
      <c r="HPE102" s="64"/>
      <c r="HPF102" s="64"/>
      <c r="HPG102" s="64"/>
      <c r="HPH102" s="64"/>
      <c r="HPI102" s="64"/>
      <c r="HPJ102" s="64"/>
      <c r="HPK102" s="64"/>
      <c r="HPL102" s="64"/>
      <c r="HPM102" s="64"/>
      <c r="HPN102" s="64"/>
      <c r="HPO102" s="64"/>
      <c r="HPP102" s="64"/>
      <c r="HPQ102" s="64"/>
      <c r="HPR102" s="64"/>
      <c r="HPS102" s="64"/>
      <c r="HPT102" s="64"/>
      <c r="HPU102" s="64"/>
      <c r="HPV102" s="64"/>
      <c r="HPW102" s="64"/>
      <c r="HPX102" s="64"/>
      <c r="HPY102" s="64"/>
      <c r="HPZ102" s="64"/>
      <c r="HQA102" s="64"/>
      <c r="HQB102" s="64"/>
      <c r="HQC102" s="64"/>
      <c r="HQD102" s="64"/>
      <c r="HQE102" s="64"/>
      <c r="HQF102" s="64"/>
      <c r="HQG102" s="64"/>
      <c r="HQH102" s="64"/>
      <c r="HQI102" s="64"/>
      <c r="HQJ102" s="64"/>
      <c r="HQK102" s="64"/>
      <c r="HQL102" s="64"/>
      <c r="HQM102" s="64"/>
      <c r="HQN102" s="64"/>
      <c r="HQO102" s="64"/>
      <c r="HQP102" s="64"/>
      <c r="HQQ102" s="64"/>
      <c r="HQR102" s="64"/>
      <c r="HQS102" s="64"/>
      <c r="HQT102" s="64"/>
      <c r="HQU102" s="64"/>
      <c r="HQV102" s="64"/>
      <c r="HQW102" s="64"/>
      <c r="HQX102" s="64"/>
      <c r="HQY102" s="64"/>
      <c r="HQZ102" s="64"/>
      <c r="HRA102" s="64"/>
      <c r="HRB102" s="64"/>
      <c r="HRC102" s="64"/>
      <c r="HRD102" s="64"/>
      <c r="HRE102" s="64"/>
      <c r="HRF102" s="64"/>
      <c r="HRG102" s="64"/>
      <c r="HRH102" s="64"/>
      <c r="HRI102" s="64"/>
      <c r="HRJ102" s="64"/>
      <c r="HRK102" s="64"/>
      <c r="HRL102" s="64"/>
      <c r="HRM102" s="64"/>
      <c r="HRN102" s="64"/>
      <c r="HRO102" s="64"/>
      <c r="HRP102" s="64"/>
      <c r="HRQ102" s="64"/>
      <c r="HRR102" s="64"/>
      <c r="HRS102" s="64"/>
      <c r="HRT102" s="64"/>
      <c r="HRU102" s="64"/>
      <c r="HRV102" s="64"/>
      <c r="HRW102" s="64"/>
      <c r="HRX102" s="64"/>
      <c r="HRY102" s="64"/>
      <c r="HRZ102" s="64"/>
      <c r="HSA102" s="64"/>
      <c r="HSB102" s="64"/>
      <c r="HSC102" s="64"/>
      <c r="HSD102" s="64"/>
      <c r="HSE102" s="64"/>
      <c r="HSF102" s="64"/>
      <c r="HSG102" s="64"/>
      <c r="HSH102" s="64"/>
      <c r="HSI102" s="64"/>
      <c r="HSJ102" s="64"/>
      <c r="HSK102" s="64"/>
      <c r="HSL102" s="64"/>
      <c r="HSM102" s="64"/>
      <c r="HSN102" s="64"/>
      <c r="HSO102" s="64"/>
      <c r="HSP102" s="64"/>
      <c r="HSQ102" s="64"/>
      <c r="HSR102" s="64"/>
      <c r="HSS102" s="64"/>
      <c r="HST102" s="64"/>
      <c r="HSU102" s="64"/>
      <c r="HSV102" s="64"/>
      <c r="HSW102" s="64"/>
      <c r="HSX102" s="64"/>
      <c r="HSY102" s="64"/>
      <c r="HSZ102" s="64"/>
      <c r="HTA102" s="64"/>
      <c r="HTB102" s="64"/>
      <c r="HTC102" s="64"/>
      <c r="HTD102" s="64"/>
      <c r="HTE102" s="64"/>
      <c r="HTF102" s="64"/>
      <c r="HTG102" s="64"/>
      <c r="HTH102" s="64"/>
      <c r="HTI102" s="64"/>
      <c r="HTJ102" s="64"/>
      <c r="HTK102" s="64"/>
      <c r="HTL102" s="64"/>
      <c r="HTM102" s="64"/>
      <c r="HTN102" s="64"/>
      <c r="HTO102" s="64"/>
      <c r="HTP102" s="64"/>
      <c r="HTQ102" s="64"/>
      <c r="HTR102" s="64"/>
      <c r="HTS102" s="64"/>
      <c r="HTT102" s="64"/>
      <c r="HTU102" s="64"/>
      <c r="HTV102" s="64"/>
      <c r="HTW102" s="64"/>
      <c r="HTX102" s="64"/>
      <c r="HTY102" s="64"/>
      <c r="HTZ102" s="64"/>
      <c r="HUA102" s="64"/>
      <c r="HUB102" s="64"/>
      <c r="HUC102" s="64"/>
      <c r="HUD102" s="64"/>
      <c r="HUE102" s="64"/>
      <c r="HUF102" s="64"/>
      <c r="HUG102" s="64"/>
      <c r="HUH102" s="64"/>
      <c r="HUI102" s="64"/>
      <c r="HUJ102" s="64"/>
      <c r="HUK102" s="64"/>
      <c r="HUL102" s="64"/>
      <c r="HUM102" s="64"/>
      <c r="HUN102" s="64"/>
      <c r="HUO102" s="64"/>
      <c r="HUP102" s="64"/>
      <c r="HUQ102" s="64"/>
      <c r="HUR102" s="64"/>
      <c r="HUS102" s="64"/>
      <c r="HUT102" s="64"/>
      <c r="HUU102" s="64"/>
      <c r="HUV102" s="64"/>
      <c r="HUW102" s="64"/>
      <c r="HUX102" s="64"/>
      <c r="HUY102" s="64"/>
      <c r="HUZ102" s="64"/>
      <c r="HVA102" s="64"/>
      <c r="HVB102" s="64"/>
      <c r="HVC102" s="64"/>
      <c r="HVD102" s="64"/>
      <c r="HVE102" s="64"/>
      <c r="HVF102" s="64"/>
      <c r="HVG102" s="64"/>
      <c r="HVH102" s="64"/>
      <c r="HVI102" s="64"/>
      <c r="HVJ102" s="64"/>
      <c r="HVK102" s="64"/>
      <c r="HVL102" s="64"/>
      <c r="HVM102" s="64"/>
      <c r="HVN102" s="64"/>
      <c r="HVO102" s="64"/>
      <c r="HVP102" s="64"/>
      <c r="HVQ102" s="64"/>
      <c r="HVR102" s="64"/>
      <c r="HVS102" s="64"/>
      <c r="HVT102" s="64"/>
      <c r="HVU102" s="64"/>
      <c r="HVV102" s="64"/>
      <c r="HVW102" s="64"/>
      <c r="HVX102" s="64"/>
      <c r="HVY102" s="64"/>
      <c r="HVZ102" s="64"/>
      <c r="HWA102" s="64"/>
      <c r="HWB102" s="64"/>
      <c r="HWC102" s="64"/>
      <c r="HWD102" s="64"/>
      <c r="HWE102" s="64"/>
      <c r="HWF102" s="64"/>
      <c r="HWG102" s="64"/>
      <c r="HWH102" s="64"/>
      <c r="HWI102" s="64"/>
      <c r="HWJ102" s="64"/>
      <c r="HWK102" s="64"/>
      <c r="HWL102" s="64"/>
      <c r="HWM102" s="64"/>
      <c r="HWN102" s="64"/>
      <c r="HWO102" s="64"/>
      <c r="HWP102" s="64"/>
      <c r="HWQ102" s="64"/>
      <c r="HWR102" s="64"/>
      <c r="HWS102" s="64"/>
      <c r="HWT102" s="64"/>
      <c r="HWU102" s="64"/>
      <c r="HWV102" s="64"/>
      <c r="HWW102" s="64"/>
      <c r="HWX102" s="64"/>
      <c r="HWY102" s="64"/>
      <c r="HWZ102" s="64"/>
      <c r="HXA102" s="64"/>
      <c r="HXB102" s="64"/>
      <c r="HXC102" s="64"/>
      <c r="HXD102" s="64"/>
      <c r="HXE102" s="64"/>
      <c r="HXF102" s="64"/>
      <c r="HXG102" s="64"/>
      <c r="HXH102" s="64"/>
      <c r="HXI102" s="64"/>
      <c r="HXJ102" s="64"/>
      <c r="HXK102" s="64"/>
      <c r="HXL102" s="64"/>
      <c r="HXM102" s="64"/>
      <c r="HXN102" s="64"/>
      <c r="HXO102" s="64"/>
      <c r="HXP102" s="64"/>
      <c r="HXQ102" s="64"/>
      <c r="HXR102" s="64"/>
      <c r="HXS102" s="64"/>
      <c r="HXT102" s="64"/>
      <c r="HXU102" s="64"/>
      <c r="HXV102" s="64"/>
      <c r="HXW102" s="64"/>
      <c r="HXX102" s="64"/>
      <c r="HXY102" s="64"/>
      <c r="HXZ102" s="64"/>
      <c r="HYA102" s="64"/>
      <c r="HYB102" s="64"/>
      <c r="HYC102" s="64"/>
      <c r="HYD102" s="64"/>
      <c r="HYE102" s="64"/>
      <c r="HYF102" s="64"/>
      <c r="HYG102" s="64"/>
      <c r="HYH102" s="64"/>
      <c r="HYI102" s="64"/>
      <c r="HYJ102" s="64"/>
      <c r="HYK102" s="64"/>
      <c r="HYL102" s="64"/>
      <c r="HYM102" s="64"/>
      <c r="HYN102" s="64"/>
      <c r="HYU102" s="64"/>
      <c r="HYV102" s="64"/>
      <c r="HYW102" s="64"/>
      <c r="HYX102" s="64"/>
      <c r="HYY102" s="64"/>
      <c r="HYZ102" s="64"/>
      <c r="HZA102" s="64"/>
      <c r="HZB102" s="64"/>
      <c r="HZC102" s="64"/>
      <c r="HZD102" s="64"/>
      <c r="HZE102" s="64"/>
      <c r="HZF102" s="64"/>
      <c r="HZG102" s="64"/>
      <c r="HZH102" s="64"/>
      <c r="HZI102" s="64"/>
      <c r="HZJ102" s="64"/>
      <c r="HZK102" s="64"/>
      <c r="HZL102" s="64"/>
      <c r="HZM102" s="64"/>
      <c r="HZN102" s="64"/>
      <c r="HZO102" s="64"/>
      <c r="HZP102" s="64"/>
      <c r="HZQ102" s="64"/>
      <c r="HZR102" s="64"/>
      <c r="HZS102" s="64"/>
      <c r="HZT102" s="64"/>
      <c r="HZU102" s="64"/>
      <c r="HZV102" s="64"/>
      <c r="HZW102" s="64"/>
      <c r="HZX102" s="64"/>
      <c r="HZY102" s="64"/>
      <c r="HZZ102" s="64"/>
      <c r="IAA102" s="64"/>
      <c r="IAB102" s="64"/>
      <c r="IAC102" s="64"/>
      <c r="IAD102" s="64"/>
      <c r="IAE102" s="64"/>
      <c r="IAF102" s="64"/>
      <c r="IAG102" s="64"/>
      <c r="IAH102" s="64"/>
      <c r="IAI102" s="64"/>
      <c r="IAJ102" s="64"/>
      <c r="IAK102" s="64"/>
      <c r="IAL102" s="64"/>
      <c r="IAM102" s="64"/>
      <c r="IAN102" s="64"/>
      <c r="IAO102" s="64"/>
      <c r="IAP102" s="64"/>
      <c r="IAQ102" s="64"/>
      <c r="IAR102" s="64"/>
      <c r="IAS102" s="64"/>
      <c r="IAT102" s="64"/>
      <c r="IAU102" s="64"/>
      <c r="IAV102" s="64"/>
      <c r="IAW102" s="64"/>
      <c r="IAX102" s="64"/>
      <c r="IAY102" s="64"/>
      <c r="IAZ102" s="64"/>
      <c r="IBA102" s="64"/>
      <c r="IBB102" s="64"/>
      <c r="IBC102" s="64"/>
      <c r="IBD102" s="64"/>
      <c r="IBE102" s="64"/>
      <c r="IBF102" s="64"/>
      <c r="IBG102" s="64"/>
      <c r="IBH102" s="64"/>
      <c r="IBI102" s="64"/>
      <c r="IBJ102" s="64"/>
      <c r="IBK102" s="64"/>
      <c r="IBL102" s="64"/>
      <c r="IBM102" s="64"/>
      <c r="IBN102" s="64"/>
      <c r="IBO102" s="64"/>
      <c r="IBP102" s="64"/>
      <c r="IBQ102" s="64"/>
      <c r="IBR102" s="64"/>
      <c r="IBS102" s="64"/>
      <c r="IBT102" s="64"/>
      <c r="IBU102" s="64"/>
      <c r="IBV102" s="64"/>
      <c r="IBW102" s="64"/>
      <c r="IBX102" s="64"/>
      <c r="IBY102" s="64"/>
      <c r="IBZ102" s="64"/>
      <c r="ICA102" s="64"/>
      <c r="ICB102" s="64"/>
      <c r="ICC102" s="64"/>
      <c r="ICD102" s="64"/>
      <c r="ICE102" s="64"/>
      <c r="ICF102" s="64"/>
      <c r="ICG102" s="64"/>
      <c r="ICH102" s="64"/>
      <c r="ICI102" s="64"/>
      <c r="ICJ102" s="64"/>
      <c r="ICK102" s="64"/>
      <c r="ICL102" s="64"/>
      <c r="ICM102" s="64"/>
      <c r="ICN102" s="64"/>
      <c r="ICO102" s="64"/>
      <c r="ICP102" s="64"/>
      <c r="ICQ102" s="64"/>
      <c r="ICR102" s="64"/>
      <c r="ICS102" s="64"/>
      <c r="ICT102" s="64"/>
      <c r="ICU102" s="64"/>
      <c r="ICV102" s="64"/>
      <c r="ICW102" s="64"/>
      <c r="ICX102" s="64"/>
      <c r="ICY102" s="64"/>
      <c r="ICZ102" s="64"/>
      <c r="IDA102" s="64"/>
      <c r="IDB102" s="64"/>
      <c r="IDC102" s="64"/>
      <c r="IDD102" s="64"/>
      <c r="IDE102" s="64"/>
      <c r="IDF102" s="64"/>
      <c r="IDG102" s="64"/>
      <c r="IDH102" s="64"/>
      <c r="IDI102" s="64"/>
      <c r="IDJ102" s="64"/>
      <c r="IDK102" s="64"/>
      <c r="IDL102" s="64"/>
      <c r="IDM102" s="64"/>
      <c r="IDN102" s="64"/>
      <c r="IDO102" s="64"/>
      <c r="IDP102" s="64"/>
      <c r="IDQ102" s="64"/>
      <c r="IDR102" s="64"/>
      <c r="IDS102" s="64"/>
      <c r="IDT102" s="64"/>
      <c r="IDU102" s="64"/>
      <c r="IDV102" s="64"/>
      <c r="IDW102" s="64"/>
      <c r="IDX102" s="64"/>
      <c r="IDY102" s="64"/>
      <c r="IDZ102" s="64"/>
      <c r="IEA102" s="64"/>
      <c r="IEB102" s="64"/>
      <c r="IEC102" s="64"/>
      <c r="IED102" s="64"/>
      <c r="IEE102" s="64"/>
      <c r="IEF102" s="64"/>
      <c r="IEG102" s="64"/>
      <c r="IEH102" s="64"/>
      <c r="IEI102" s="64"/>
      <c r="IEJ102" s="64"/>
      <c r="IEK102" s="64"/>
      <c r="IEL102" s="64"/>
      <c r="IEM102" s="64"/>
      <c r="IEN102" s="64"/>
      <c r="IEO102" s="64"/>
      <c r="IEP102" s="64"/>
      <c r="IEQ102" s="64"/>
      <c r="IER102" s="64"/>
      <c r="IES102" s="64"/>
      <c r="IET102" s="64"/>
      <c r="IEU102" s="64"/>
      <c r="IEV102" s="64"/>
      <c r="IEW102" s="64"/>
      <c r="IEX102" s="64"/>
      <c r="IEY102" s="64"/>
      <c r="IEZ102" s="64"/>
      <c r="IFA102" s="64"/>
      <c r="IFB102" s="64"/>
      <c r="IFC102" s="64"/>
      <c r="IFD102" s="64"/>
      <c r="IFE102" s="64"/>
      <c r="IFF102" s="64"/>
      <c r="IFG102" s="64"/>
      <c r="IFH102" s="64"/>
      <c r="IFI102" s="64"/>
      <c r="IFJ102" s="64"/>
      <c r="IFK102" s="64"/>
      <c r="IFL102" s="64"/>
      <c r="IFM102" s="64"/>
      <c r="IFN102" s="64"/>
      <c r="IFO102" s="64"/>
      <c r="IFP102" s="64"/>
      <c r="IFQ102" s="64"/>
      <c r="IFR102" s="64"/>
      <c r="IFS102" s="64"/>
      <c r="IFT102" s="64"/>
      <c r="IFU102" s="64"/>
      <c r="IFV102" s="64"/>
      <c r="IFW102" s="64"/>
      <c r="IFX102" s="64"/>
      <c r="IFY102" s="64"/>
      <c r="IFZ102" s="64"/>
      <c r="IGA102" s="64"/>
      <c r="IGB102" s="64"/>
      <c r="IGC102" s="64"/>
      <c r="IGD102" s="64"/>
      <c r="IGE102" s="64"/>
      <c r="IGF102" s="64"/>
      <c r="IGG102" s="64"/>
      <c r="IGH102" s="64"/>
      <c r="IGI102" s="64"/>
      <c r="IGJ102" s="64"/>
      <c r="IGK102" s="64"/>
      <c r="IGL102" s="64"/>
      <c r="IGM102" s="64"/>
      <c r="IGN102" s="64"/>
      <c r="IGO102" s="64"/>
      <c r="IGP102" s="64"/>
      <c r="IGQ102" s="64"/>
      <c r="IGR102" s="64"/>
      <c r="IGS102" s="64"/>
      <c r="IGT102" s="64"/>
      <c r="IGU102" s="64"/>
      <c r="IGV102" s="64"/>
      <c r="IGW102" s="64"/>
      <c r="IGX102" s="64"/>
      <c r="IGY102" s="64"/>
      <c r="IGZ102" s="64"/>
      <c r="IHA102" s="64"/>
      <c r="IHB102" s="64"/>
      <c r="IHC102" s="64"/>
      <c r="IHD102" s="64"/>
      <c r="IHE102" s="64"/>
      <c r="IHF102" s="64"/>
      <c r="IHG102" s="64"/>
      <c r="IHH102" s="64"/>
      <c r="IHI102" s="64"/>
      <c r="IHJ102" s="64"/>
      <c r="IHK102" s="64"/>
      <c r="IHL102" s="64"/>
      <c r="IHM102" s="64"/>
      <c r="IHN102" s="64"/>
      <c r="IHO102" s="64"/>
      <c r="IHP102" s="64"/>
      <c r="IHQ102" s="64"/>
      <c r="IHR102" s="64"/>
      <c r="IHS102" s="64"/>
      <c r="IHT102" s="64"/>
      <c r="IHU102" s="64"/>
      <c r="IHV102" s="64"/>
      <c r="IHW102" s="64"/>
      <c r="IHX102" s="64"/>
      <c r="IHY102" s="64"/>
      <c r="IHZ102" s="64"/>
      <c r="IIA102" s="64"/>
      <c r="IIB102" s="64"/>
      <c r="IIC102" s="64"/>
      <c r="IID102" s="64"/>
      <c r="IIE102" s="64"/>
      <c r="IIF102" s="64"/>
      <c r="IIG102" s="64"/>
      <c r="IIH102" s="64"/>
      <c r="III102" s="64"/>
      <c r="IIJ102" s="64"/>
      <c r="IIQ102" s="64"/>
      <c r="IIR102" s="64"/>
      <c r="IIS102" s="64"/>
      <c r="IIT102" s="64"/>
      <c r="IIU102" s="64"/>
      <c r="IIV102" s="64"/>
      <c r="IIW102" s="64"/>
      <c r="IIX102" s="64"/>
      <c r="IIY102" s="64"/>
      <c r="IIZ102" s="64"/>
      <c r="IJA102" s="64"/>
      <c r="IJB102" s="64"/>
      <c r="IJC102" s="64"/>
      <c r="IJD102" s="64"/>
      <c r="IJE102" s="64"/>
      <c r="IJF102" s="64"/>
      <c r="IJG102" s="64"/>
      <c r="IJH102" s="64"/>
      <c r="IJI102" s="64"/>
      <c r="IJJ102" s="64"/>
      <c r="IJK102" s="64"/>
      <c r="IJL102" s="64"/>
      <c r="IJM102" s="64"/>
      <c r="IJN102" s="64"/>
      <c r="IJO102" s="64"/>
      <c r="IJP102" s="64"/>
      <c r="IJQ102" s="64"/>
      <c r="IJR102" s="64"/>
      <c r="IJS102" s="64"/>
      <c r="IJT102" s="64"/>
      <c r="IJU102" s="64"/>
      <c r="IJV102" s="64"/>
      <c r="IJW102" s="64"/>
      <c r="IJX102" s="64"/>
      <c r="IJY102" s="64"/>
      <c r="IJZ102" s="64"/>
      <c r="IKA102" s="64"/>
      <c r="IKB102" s="64"/>
      <c r="IKC102" s="64"/>
      <c r="IKD102" s="64"/>
      <c r="IKE102" s="64"/>
      <c r="IKF102" s="64"/>
      <c r="IKG102" s="64"/>
      <c r="IKH102" s="64"/>
      <c r="IKI102" s="64"/>
      <c r="IKJ102" s="64"/>
      <c r="IKK102" s="64"/>
      <c r="IKL102" s="64"/>
      <c r="IKM102" s="64"/>
      <c r="IKN102" s="64"/>
      <c r="IKO102" s="64"/>
      <c r="IKP102" s="64"/>
      <c r="IKQ102" s="64"/>
      <c r="IKR102" s="64"/>
      <c r="IKS102" s="64"/>
      <c r="IKT102" s="64"/>
      <c r="IKU102" s="64"/>
      <c r="IKV102" s="64"/>
      <c r="IKW102" s="64"/>
      <c r="IKX102" s="64"/>
      <c r="IKY102" s="64"/>
      <c r="IKZ102" s="64"/>
      <c r="ILA102" s="64"/>
      <c r="ILB102" s="64"/>
      <c r="ILC102" s="64"/>
      <c r="ILD102" s="64"/>
      <c r="ILE102" s="64"/>
      <c r="ILF102" s="64"/>
      <c r="ILG102" s="64"/>
      <c r="ILH102" s="64"/>
      <c r="ILI102" s="64"/>
      <c r="ILJ102" s="64"/>
      <c r="ILK102" s="64"/>
      <c r="ILL102" s="64"/>
      <c r="ILM102" s="64"/>
      <c r="ILN102" s="64"/>
      <c r="ILO102" s="64"/>
      <c r="ILP102" s="64"/>
      <c r="ILQ102" s="64"/>
      <c r="ILR102" s="64"/>
      <c r="ILS102" s="64"/>
      <c r="ILT102" s="64"/>
      <c r="ILU102" s="64"/>
      <c r="ILV102" s="64"/>
      <c r="ILW102" s="64"/>
      <c r="ILX102" s="64"/>
      <c r="ILY102" s="64"/>
      <c r="ILZ102" s="64"/>
      <c r="IMA102" s="64"/>
      <c r="IMB102" s="64"/>
      <c r="IMC102" s="64"/>
      <c r="IMD102" s="64"/>
      <c r="IME102" s="64"/>
      <c r="IMF102" s="64"/>
      <c r="IMG102" s="64"/>
      <c r="IMH102" s="64"/>
      <c r="IMI102" s="64"/>
      <c r="IMJ102" s="64"/>
      <c r="IMK102" s="64"/>
      <c r="IML102" s="64"/>
      <c r="IMM102" s="64"/>
      <c r="IMN102" s="64"/>
      <c r="IMO102" s="64"/>
      <c r="IMP102" s="64"/>
      <c r="IMQ102" s="64"/>
      <c r="IMR102" s="64"/>
      <c r="IMS102" s="64"/>
      <c r="IMT102" s="64"/>
      <c r="IMU102" s="64"/>
      <c r="IMV102" s="64"/>
      <c r="IMW102" s="64"/>
      <c r="IMX102" s="64"/>
      <c r="IMY102" s="64"/>
      <c r="IMZ102" s="64"/>
      <c r="INA102" s="64"/>
      <c r="INB102" s="64"/>
      <c r="INC102" s="64"/>
      <c r="IND102" s="64"/>
      <c r="INE102" s="64"/>
      <c r="INF102" s="64"/>
      <c r="ING102" s="64"/>
      <c r="INH102" s="64"/>
      <c r="INI102" s="64"/>
      <c r="INJ102" s="64"/>
      <c r="INK102" s="64"/>
      <c r="INL102" s="64"/>
      <c r="INM102" s="64"/>
      <c r="INN102" s="64"/>
      <c r="INO102" s="64"/>
      <c r="INP102" s="64"/>
      <c r="INQ102" s="64"/>
      <c r="INR102" s="64"/>
      <c r="INS102" s="64"/>
      <c r="INT102" s="64"/>
      <c r="INU102" s="64"/>
      <c r="INV102" s="64"/>
      <c r="INW102" s="64"/>
      <c r="INX102" s="64"/>
      <c r="INY102" s="64"/>
      <c r="INZ102" s="64"/>
      <c r="IOA102" s="64"/>
      <c r="IOB102" s="64"/>
      <c r="IOC102" s="64"/>
      <c r="IOD102" s="64"/>
      <c r="IOE102" s="64"/>
      <c r="IOF102" s="64"/>
      <c r="IOG102" s="64"/>
      <c r="IOH102" s="64"/>
      <c r="IOI102" s="64"/>
      <c r="IOJ102" s="64"/>
      <c r="IOK102" s="64"/>
      <c r="IOL102" s="64"/>
      <c r="IOM102" s="64"/>
      <c r="ION102" s="64"/>
      <c r="IOO102" s="64"/>
      <c r="IOP102" s="64"/>
      <c r="IOQ102" s="64"/>
      <c r="IOR102" s="64"/>
      <c r="IOS102" s="64"/>
      <c r="IOT102" s="64"/>
      <c r="IOU102" s="64"/>
      <c r="IOV102" s="64"/>
      <c r="IOW102" s="64"/>
      <c r="IOX102" s="64"/>
      <c r="IOY102" s="64"/>
      <c r="IOZ102" s="64"/>
      <c r="IPA102" s="64"/>
      <c r="IPB102" s="64"/>
      <c r="IPC102" s="64"/>
      <c r="IPD102" s="64"/>
      <c r="IPE102" s="64"/>
      <c r="IPF102" s="64"/>
      <c r="IPG102" s="64"/>
      <c r="IPH102" s="64"/>
      <c r="IPI102" s="64"/>
      <c r="IPJ102" s="64"/>
      <c r="IPK102" s="64"/>
      <c r="IPL102" s="64"/>
      <c r="IPM102" s="64"/>
      <c r="IPN102" s="64"/>
      <c r="IPO102" s="64"/>
      <c r="IPP102" s="64"/>
      <c r="IPQ102" s="64"/>
      <c r="IPR102" s="64"/>
      <c r="IPS102" s="64"/>
      <c r="IPT102" s="64"/>
      <c r="IPU102" s="64"/>
      <c r="IPV102" s="64"/>
      <c r="IPW102" s="64"/>
      <c r="IPX102" s="64"/>
      <c r="IPY102" s="64"/>
      <c r="IPZ102" s="64"/>
      <c r="IQA102" s="64"/>
      <c r="IQB102" s="64"/>
      <c r="IQC102" s="64"/>
      <c r="IQD102" s="64"/>
      <c r="IQE102" s="64"/>
      <c r="IQF102" s="64"/>
      <c r="IQG102" s="64"/>
      <c r="IQH102" s="64"/>
      <c r="IQI102" s="64"/>
      <c r="IQJ102" s="64"/>
      <c r="IQK102" s="64"/>
      <c r="IQL102" s="64"/>
      <c r="IQM102" s="64"/>
      <c r="IQN102" s="64"/>
      <c r="IQO102" s="64"/>
      <c r="IQP102" s="64"/>
      <c r="IQQ102" s="64"/>
      <c r="IQR102" s="64"/>
      <c r="IQS102" s="64"/>
      <c r="IQT102" s="64"/>
      <c r="IQU102" s="64"/>
      <c r="IQV102" s="64"/>
      <c r="IQW102" s="64"/>
      <c r="IQX102" s="64"/>
      <c r="IQY102" s="64"/>
      <c r="IQZ102" s="64"/>
      <c r="IRA102" s="64"/>
      <c r="IRB102" s="64"/>
      <c r="IRC102" s="64"/>
      <c r="IRD102" s="64"/>
      <c r="IRE102" s="64"/>
      <c r="IRF102" s="64"/>
      <c r="IRG102" s="64"/>
      <c r="IRH102" s="64"/>
      <c r="IRI102" s="64"/>
      <c r="IRJ102" s="64"/>
      <c r="IRK102" s="64"/>
      <c r="IRL102" s="64"/>
      <c r="IRM102" s="64"/>
      <c r="IRN102" s="64"/>
      <c r="IRO102" s="64"/>
      <c r="IRP102" s="64"/>
      <c r="IRQ102" s="64"/>
      <c r="IRR102" s="64"/>
      <c r="IRS102" s="64"/>
      <c r="IRT102" s="64"/>
      <c r="IRU102" s="64"/>
      <c r="IRV102" s="64"/>
      <c r="IRW102" s="64"/>
      <c r="IRX102" s="64"/>
      <c r="IRY102" s="64"/>
      <c r="IRZ102" s="64"/>
      <c r="ISA102" s="64"/>
      <c r="ISB102" s="64"/>
      <c r="ISC102" s="64"/>
      <c r="ISD102" s="64"/>
      <c r="ISE102" s="64"/>
      <c r="ISF102" s="64"/>
      <c r="ISM102" s="64"/>
      <c r="ISN102" s="64"/>
      <c r="ISO102" s="64"/>
      <c r="ISP102" s="64"/>
      <c r="ISQ102" s="64"/>
      <c r="ISR102" s="64"/>
      <c r="ISS102" s="64"/>
      <c r="IST102" s="64"/>
      <c r="ISU102" s="64"/>
      <c r="ISV102" s="64"/>
      <c r="ISW102" s="64"/>
      <c r="ISX102" s="64"/>
      <c r="ISY102" s="64"/>
      <c r="ISZ102" s="64"/>
      <c r="ITA102" s="64"/>
      <c r="ITB102" s="64"/>
      <c r="ITC102" s="64"/>
      <c r="ITD102" s="64"/>
      <c r="ITE102" s="64"/>
      <c r="ITF102" s="64"/>
      <c r="ITG102" s="64"/>
      <c r="ITH102" s="64"/>
      <c r="ITI102" s="64"/>
      <c r="ITJ102" s="64"/>
      <c r="ITK102" s="64"/>
      <c r="ITL102" s="64"/>
      <c r="ITM102" s="64"/>
      <c r="ITN102" s="64"/>
      <c r="ITO102" s="64"/>
      <c r="ITP102" s="64"/>
      <c r="ITQ102" s="64"/>
      <c r="ITR102" s="64"/>
      <c r="ITS102" s="64"/>
      <c r="ITT102" s="64"/>
      <c r="ITU102" s="64"/>
      <c r="ITV102" s="64"/>
      <c r="ITW102" s="64"/>
      <c r="ITX102" s="64"/>
      <c r="ITY102" s="64"/>
      <c r="ITZ102" s="64"/>
      <c r="IUA102" s="64"/>
      <c r="IUB102" s="64"/>
      <c r="IUC102" s="64"/>
      <c r="IUD102" s="64"/>
      <c r="IUE102" s="64"/>
      <c r="IUF102" s="64"/>
      <c r="IUG102" s="64"/>
      <c r="IUH102" s="64"/>
      <c r="IUI102" s="64"/>
      <c r="IUJ102" s="64"/>
      <c r="IUK102" s="64"/>
      <c r="IUL102" s="64"/>
      <c r="IUM102" s="64"/>
      <c r="IUN102" s="64"/>
      <c r="IUO102" s="64"/>
      <c r="IUP102" s="64"/>
      <c r="IUQ102" s="64"/>
      <c r="IUR102" s="64"/>
      <c r="IUS102" s="64"/>
      <c r="IUT102" s="64"/>
      <c r="IUU102" s="64"/>
      <c r="IUV102" s="64"/>
      <c r="IUW102" s="64"/>
      <c r="IUX102" s="64"/>
      <c r="IUY102" s="64"/>
      <c r="IUZ102" s="64"/>
      <c r="IVA102" s="64"/>
      <c r="IVB102" s="64"/>
      <c r="IVC102" s="64"/>
      <c r="IVD102" s="64"/>
      <c r="IVE102" s="64"/>
      <c r="IVF102" s="64"/>
      <c r="IVG102" s="64"/>
      <c r="IVH102" s="64"/>
      <c r="IVI102" s="64"/>
      <c r="IVJ102" s="64"/>
      <c r="IVK102" s="64"/>
      <c r="IVL102" s="64"/>
      <c r="IVM102" s="64"/>
      <c r="IVN102" s="64"/>
      <c r="IVO102" s="64"/>
      <c r="IVP102" s="64"/>
      <c r="IVQ102" s="64"/>
      <c r="IVR102" s="64"/>
      <c r="IVS102" s="64"/>
      <c r="IVT102" s="64"/>
      <c r="IVU102" s="64"/>
      <c r="IVV102" s="64"/>
      <c r="IVW102" s="64"/>
      <c r="IVX102" s="64"/>
      <c r="IVY102" s="64"/>
      <c r="IVZ102" s="64"/>
      <c r="IWA102" s="64"/>
      <c r="IWB102" s="64"/>
      <c r="IWC102" s="64"/>
      <c r="IWD102" s="64"/>
      <c r="IWE102" s="64"/>
      <c r="IWF102" s="64"/>
      <c r="IWG102" s="64"/>
      <c r="IWH102" s="64"/>
      <c r="IWI102" s="64"/>
      <c r="IWJ102" s="64"/>
      <c r="IWK102" s="64"/>
      <c r="IWL102" s="64"/>
      <c r="IWM102" s="64"/>
      <c r="IWN102" s="64"/>
      <c r="IWO102" s="64"/>
      <c r="IWP102" s="64"/>
      <c r="IWQ102" s="64"/>
      <c r="IWR102" s="64"/>
      <c r="IWS102" s="64"/>
      <c r="IWT102" s="64"/>
      <c r="IWU102" s="64"/>
      <c r="IWV102" s="64"/>
      <c r="IWW102" s="64"/>
      <c r="IWX102" s="64"/>
      <c r="IWY102" s="64"/>
      <c r="IWZ102" s="64"/>
      <c r="IXA102" s="64"/>
      <c r="IXB102" s="64"/>
      <c r="IXC102" s="64"/>
      <c r="IXD102" s="64"/>
      <c r="IXE102" s="64"/>
      <c r="IXF102" s="64"/>
      <c r="IXG102" s="64"/>
      <c r="IXH102" s="64"/>
      <c r="IXI102" s="64"/>
      <c r="IXJ102" s="64"/>
      <c r="IXK102" s="64"/>
      <c r="IXL102" s="64"/>
      <c r="IXM102" s="64"/>
      <c r="IXN102" s="64"/>
      <c r="IXO102" s="64"/>
      <c r="IXP102" s="64"/>
      <c r="IXQ102" s="64"/>
      <c r="IXR102" s="64"/>
      <c r="IXS102" s="64"/>
      <c r="IXT102" s="64"/>
      <c r="IXU102" s="64"/>
      <c r="IXV102" s="64"/>
      <c r="IXW102" s="64"/>
      <c r="IXX102" s="64"/>
      <c r="IXY102" s="64"/>
      <c r="IXZ102" s="64"/>
      <c r="IYA102" s="64"/>
      <c r="IYB102" s="64"/>
      <c r="IYC102" s="64"/>
      <c r="IYD102" s="64"/>
      <c r="IYE102" s="64"/>
      <c r="IYF102" s="64"/>
      <c r="IYG102" s="64"/>
      <c r="IYH102" s="64"/>
      <c r="IYI102" s="64"/>
      <c r="IYJ102" s="64"/>
      <c r="IYK102" s="64"/>
      <c r="IYL102" s="64"/>
      <c r="IYM102" s="64"/>
      <c r="IYN102" s="64"/>
      <c r="IYO102" s="64"/>
      <c r="IYP102" s="64"/>
      <c r="IYQ102" s="64"/>
      <c r="IYR102" s="64"/>
      <c r="IYS102" s="64"/>
      <c r="IYT102" s="64"/>
      <c r="IYU102" s="64"/>
      <c r="IYV102" s="64"/>
      <c r="IYW102" s="64"/>
      <c r="IYX102" s="64"/>
      <c r="IYY102" s="64"/>
      <c r="IYZ102" s="64"/>
      <c r="IZA102" s="64"/>
      <c r="IZB102" s="64"/>
      <c r="IZC102" s="64"/>
      <c r="IZD102" s="64"/>
      <c r="IZE102" s="64"/>
      <c r="IZF102" s="64"/>
      <c r="IZG102" s="64"/>
      <c r="IZH102" s="64"/>
      <c r="IZI102" s="64"/>
      <c r="IZJ102" s="64"/>
      <c r="IZK102" s="64"/>
      <c r="IZL102" s="64"/>
      <c r="IZM102" s="64"/>
      <c r="IZN102" s="64"/>
      <c r="IZO102" s="64"/>
      <c r="IZP102" s="64"/>
      <c r="IZQ102" s="64"/>
      <c r="IZR102" s="64"/>
      <c r="IZS102" s="64"/>
      <c r="IZT102" s="64"/>
      <c r="IZU102" s="64"/>
      <c r="IZV102" s="64"/>
      <c r="IZW102" s="64"/>
      <c r="IZX102" s="64"/>
      <c r="IZY102" s="64"/>
      <c r="IZZ102" s="64"/>
      <c r="JAA102" s="64"/>
      <c r="JAB102" s="64"/>
      <c r="JAC102" s="64"/>
      <c r="JAD102" s="64"/>
      <c r="JAE102" s="64"/>
      <c r="JAF102" s="64"/>
      <c r="JAG102" s="64"/>
      <c r="JAH102" s="64"/>
      <c r="JAI102" s="64"/>
      <c r="JAJ102" s="64"/>
      <c r="JAK102" s="64"/>
      <c r="JAL102" s="64"/>
      <c r="JAM102" s="64"/>
      <c r="JAN102" s="64"/>
      <c r="JAO102" s="64"/>
      <c r="JAP102" s="64"/>
      <c r="JAQ102" s="64"/>
      <c r="JAR102" s="64"/>
      <c r="JAS102" s="64"/>
      <c r="JAT102" s="64"/>
      <c r="JAU102" s="64"/>
      <c r="JAV102" s="64"/>
      <c r="JAW102" s="64"/>
      <c r="JAX102" s="64"/>
      <c r="JAY102" s="64"/>
      <c r="JAZ102" s="64"/>
      <c r="JBA102" s="64"/>
      <c r="JBB102" s="64"/>
      <c r="JBC102" s="64"/>
      <c r="JBD102" s="64"/>
      <c r="JBE102" s="64"/>
      <c r="JBF102" s="64"/>
      <c r="JBG102" s="64"/>
      <c r="JBH102" s="64"/>
      <c r="JBI102" s="64"/>
      <c r="JBJ102" s="64"/>
      <c r="JBK102" s="64"/>
      <c r="JBL102" s="64"/>
      <c r="JBM102" s="64"/>
      <c r="JBN102" s="64"/>
      <c r="JBO102" s="64"/>
      <c r="JBP102" s="64"/>
      <c r="JBQ102" s="64"/>
      <c r="JBR102" s="64"/>
      <c r="JBS102" s="64"/>
      <c r="JBT102" s="64"/>
      <c r="JBU102" s="64"/>
      <c r="JBV102" s="64"/>
      <c r="JBW102" s="64"/>
      <c r="JBX102" s="64"/>
      <c r="JBY102" s="64"/>
      <c r="JBZ102" s="64"/>
      <c r="JCA102" s="64"/>
      <c r="JCB102" s="64"/>
      <c r="JCI102" s="64"/>
      <c r="JCJ102" s="64"/>
      <c r="JCK102" s="64"/>
      <c r="JCL102" s="64"/>
      <c r="JCM102" s="64"/>
      <c r="JCN102" s="64"/>
      <c r="JCO102" s="64"/>
      <c r="JCP102" s="64"/>
      <c r="JCQ102" s="64"/>
      <c r="JCR102" s="64"/>
      <c r="JCS102" s="64"/>
      <c r="JCT102" s="64"/>
      <c r="JCU102" s="64"/>
      <c r="JCV102" s="64"/>
      <c r="JCW102" s="64"/>
      <c r="JCX102" s="64"/>
      <c r="JCY102" s="64"/>
      <c r="JCZ102" s="64"/>
      <c r="JDA102" s="64"/>
      <c r="JDB102" s="64"/>
      <c r="JDC102" s="64"/>
      <c r="JDD102" s="64"/>
      <c r="JDE102" s="64"/>
      <c r="JDF102" s="64"/>
      <c r="JDG102" s="64"/>
      <c r="JDH102" s="64"/>
      <c r="JDI102" s="64"/>
      <c r="JDJ102" s="64"/>
      <c r="JDK102" s="64"/>
      <c r="JDL102" s="64"/>
      <c r="JDM102" s="64"/>
      <c r="JDN102" s="64"/>
      <c r="JDO102" s="64"/>
      <c r="JDP102" s="64"/>
      <c r="JDQ102" s="64"/>
      <c r="JDR102" s="64"/>
      <c r="JDS102" s="64"/>
      <c r="JDT102" s="64"/>
      <c r="JDU102" s="64"/>
      <c r="JDV102" s="64"/>
      <c r="JDW102" s="64"/>
      <c r="JDX102" s="64"/>
      <c r="JDY102" s="64"/>
      <c r="JDZ102" s="64"/>
      <c r="JEA102" s="64"/>
      <c r="JEB102" s="64"/>
      <c r="JEC102" s="64"/>
      <c r="JED102" s="64"/>
      <c r="JEE102" s="64"/>
      <c r="JEF102" s="64"/>
      <c r="JEG102" s="64"/>
      <c r="JEH102" s="64"/>
      <c r="JEI102" s="64"/>
      <c r="JEJ102" s="64"/>
      <c r="JEK102" s="64"/>
      <c r="JEL102" s="64"/>
      <c r="JEM102" s="64"/>
      <c r="JEN102" s="64"/>
      <c r="JEO102" s="64"/>
      <c r="JEP102" s="64"/>
      <c r="JEQ102" s="64"/>
      <c r="JER102" s="64"/>
      <c r="JES102" s="64"/>
      <c r="JET102" s="64"/>
      <c r="JEU102" s="64"/>
      <c r="JEV102" s="64"/>
      <c r="JEW102" s="64"/>
      <c r="JEX102" s="64"/>
      <c r="JEY102" s="64"/>
      <c r="JEZ102" s="64"/>
      <c r="JFA102" s="64"/>
      <c r="JFB102" s="64"/>
      <c r="JFC102" s="64"/>
      <c r="JFD102" s="64"/>
      <c r="JFE102" s="64"/>
      <c r="JFF102" s="64"/>
      <c r="JFG102" s="64"/>
      <c r="JFH102" s="64"/>
      <c r="JFI102" s="64"/>
      <c r="JFJ102" s="64"/>
      <c r="JFK102" s="64"/>
      <c r="JFL102" s="64"/>
      <c r="JFM102" s="64"/>
      <c r="JFN102" s="64"/>
      <c r="JFO102" s="64"/>
      <c r="JFP102" s="64"/>
      <c r="JFQ102" s="64"/>
      <c r="JFR102" s="64"/>
      <c r="JFS102" s="64"/>
      <c r="JFT102" s="64"/>
      <c r="JFU102" s="64"/>
      <c r="JFV102" s="64"/>
      <c r="JFW102" s="64"/>
      <c r="JFX102" s="64"/>
      <c r="JFY102" s="64"/>
      <c r="JFZ102" s="64"/>
      <c r="JGA102" s="64"/>
      <c r="JGB102" s="64"/>
      <c r="JGC102" s="64"/>
      <c r="JGD102" s="64"/>
      <c r="JGE102" s="64"/>
      <c r="JGF102" s="64"/>
      <c r="JGG102" s="64"/>
      <c r="JGH102" s="64"/>
      <c r="JGI102" s="64"/>
      <c r="JGJ102" s="64"/>
      <c r="JGK102" s="64"/>
      <c r="JGL102" s="64"/>
      <c r="JGM102" s="64"/>
      <c r="JGN102" s="64"/>
      <c r="JGO102" s="64"/>
      <c r="JGP102" s="64"/>
      <c r="JGQ102" s="64"/>
      <c r="JGR102" s="64"/>
      <c r="JGS102" s="64"/>
      <c r="JGT102" s="64"/>
      <c r="JGU102" s="64"/>
      <c r="JGV102" s="64"/>
      <c r="JGW102" s="64"/>
      <c r="JGX102" s="64"/>
      <c r="JGY102" s="64"/>
      <c r="JGZ102" s="64"/>
      <c r="JHA102" s="64"/>
      <c r="JHB102" s="64"/>
      <c r="JHC102" s="64"/>
      <c r="JHD102" s="64"/>
      <c r="JHE102" s="64"/>
      <c r="JHF102" s="64"/>
      <c r="JHG102" s="64"/>
      <c r="JHH102" s="64"/>
      <c r="JHI102" s="64"/>
      <c r="JHJ102" s="64"/>
      <c r="JHK102" s="64"/>
      <c r="JHL102" s="64"/>
      <c r="JHM102" s="64"/>
      <c r="JHN102" s="64"/>
      <c r="JHO102" s="64"/>
      <c r="JHP102" s="64"/>
      <c r="JHQ102" s="64"/>
      <c r="JHR102" s="64"/>
      <c r="JHS102" s="64"/>
      <c r="JHT102" s="64"/>
      <c r="JHU102" s="64"/>
      <c r="JHV102" s="64"/>
      <c r="JHW102" s="64"/>
      <c r="JHX102" s="64"/>
      <c r="JHY102" s="64"/>
      <c r="JHZ102" s="64"/>
      <c r="JIA102" s="64"/>
      <c r="JIB102" s="64"/>
      <c r="JIC102" s="64"/>
      <c r="JID102" s="64"/>
      <c r="JIE102" s="64"/>
      <c r="JIF102" s="64"/>
      <c r="JIG102" s="64"/>
      <c r="JIH102" s="64"/>
      <c r="JII102" s="64"/>
      <c r="JIJ102" s="64"/>
      <c r="JIK102" s="64"/>
      <c r="JIL102" s="64"/>
      <c r="JIM102" s="64"/>
      <c r="JIN102" s="64"/>
      <c r="JIO102" s="64"/>
      <c r="JIP102" s="64"/>
      <c r="JIQ102" s="64"/>
      <c r="JIR102" s="64"/>
      <c r="JIS102" s="64"/>
      <c r="JIT102" s="64"/>
      <c r="JIU102" s="64"/>
      <c r="JIV102" s="64"/>
      <c r="JIW102" s="64"/>
      <c r="JIX102" s="64"/>
      <c r="JIY102" s="64"/>
      <c r="JIZ102" s="64"/>
      <c r="JJA102" s="64"/>
      <c r="JJB102" s="64"/>
      <c r="JJC102" s="64"/>
      <c r="JJD102" s="64"/>
      <c r="JJE102" s="64"/>
      <c r="JJF102" s="64"/>
      <c r="JJG102" s="64"/>
      <c r="JJH102" s="64"/>
      <c r="JJI102" s="64"/>
      <c r="JJJ102" s="64"/>
      <c r="JJK102" s="64"/>
      <c r="JJL102" s="64"/>
      <c r="JJM102" s="64"/>
      <c r="JJN102" s="64"/>
      <c r="JJO102" s="64"/>
      <c r="JJP102" s="64"/>
      <c r="JJQ102" s="64"/>
      <c r="JJR102" s="64"/>
      <c r="JJS102" s="64"/>
      <c r="JJT102" s="64"/>
      <c r="JJU102" s="64"/>
      <c r="JJV102" s="64"/>
      <c r="JJW102" s="64"/>
      <c r="JJX102" s="64"/>
      <c r="JJY102" s="64"/>
      <c r="JJZ102" s="64"/>
      <c r="JKA102" s="64"/>
      <c r="JKB102" s="64"/>
      <c r="JKC102" s="64"/>
      <c r="JKD102" s="64"/>
      <c r="JKE102" s="64"/>
      <c r="JKF102" s="64"/>
      <c r="JKG102" s="64"/>
      <c r="JKH102" s="64"/>
      <c r="JKI102" s="64"/>
      <c r="JKJ102" s="64"/>
      <c r="JKK102" s="64"/>
      <c r="JKL102" s="64"/>
      <c r="JKM102" s="64"/>
      <c r="JKN102" s="64"/>
      <c r="JKO102" s="64"/>
      <c r="JKP102" s="64"/>
      <c r="JKQ102" s="64"/>
      <c r="JKR102" s="64"/>
      <c r="JKS102" s="64"/>
      <c r="JKT102" s="64"/>
      <c r="JKU102" s="64"/>
      <c r="JKV102" s="64"/>
      <c r="JKW102" s="64"/>
      <c r="JKX102" s="64"/>
      <c r="JKY102" s="64"/>
      <c r="JKZ102" s="64"/>
      <c r="JLA102" s="64"/>
      <c r="JLB102" s="64"/>
      <c r="JLC102" s="64"/>
      <c r="JLD102" s="64"/>
      <c r="JLE102" s="64"/>
      <c r="JLF102" s="64"/>
      <c r="JLG102" s="64"/>
      <c r="JLH102" s="64"/>
      <c r="JLI102" s="64"/>
      <c r="JLJ102" s="64"/>
      <c r="JLK102" s="64"/>
      <c r="JLL102" s="64"/>
      <c r="JLM102" s="64"/>
      <c r="JLN102" s="64"/>
      <c r="JLO102" s="64"/>
      <c r="JLP102" s="64"/>
      <c r="JLQ102" s="64"/>
      <c r="JLR102" s="64"/>
      <c r="JLS102" s="64"/>
      <c r="JLT102" s="64"/>
      <c r="JLU102" s="64"/>
      <c r="JLV102" s="64"/>
      <c r="JLW102" s="64"/>
      <c r="JLX102" s="64"/>
      <c r="JME102" s="64"/>
      <c r="JMF102" s="64"/>
      <c r="JMG102" s="64"/>
      <c r="JMH102" s="64"/>
      <c r="JMI102" s="64"/>
      <c r="JMJ102" s="64"/>
      <c r="JMK102" s="64"/>
      <c r="JML102" s="64"/>
      <c r="JMM102" s="64"/>
      <c r="JMN102" s="64"/>
      <c r="JMO102" s="64"/>
      <c r="JMP102" s="64"/>
      <c r="JMQ102" s="64"/>
      <c r="JMR102" s="64"/>
      <c r="JMS102" s="64"/>
      <c r="JMT102" s="64"/>
      <c r="JMU102" s="64"/>
      <c r="JMV102" s="64"/>
      <c r="JMW102" s="64"/>
      <c r="JMX102" s="64"/>
      <c r="JMY102" s="64"/>
      <c r="JMZ102" s="64"/>
      <c r="JNA102" s="64"/>
      <c r="JNB102" s="64"/>
      <c r="JNC102" s="64"/>
      <c r="JND102" s="64"/>
      <c r="JNE102" s="64"/>
      <c r="JNF102" s="64"/>
      <c r="JNG102" s="64"/>
      <c r="JNH102" s="64"/>
      <c r="JNI102" s="64"/>
      <c r="JNJ102" s="64"/>
      <c r="JNK102" s="64"/>
      <c r="JNL102" s="64"/>
      <c r="JNM102" s="64"/>
      <c r="JNN102" s="64"/>
      <c r="JNO102" s="64"/>
      <c r="JNP102" s="64"/>
      <c r="JNQ102" s="64"/>
      <c r="JNR102" s="64"/>
      <c r="JNS102" s="64"/>
      <c r="JNT102" s="64"/>
      <c r="JNU102" s="64"/>
      <c r="JNV102" s="64"/>
      <c r="JNW102" s="64"/>
      <c r="JNX102" s="64"/>
      <c r="JNY102" s="64"/>
      <c r="JNZ102" s="64"/>
      <c r="JOA102" s="64"/>
      <c r="JOB102" s="64"/>
      <c r="JOC102" s="64"/>
      <c r="JOD102" s="64"/>
      <c r="JOE102" s="64"/>
      <c r="JOF102" s="64"/>
      <c r="JOG102" s="64"/>
      <c r="JOH102" s="64"/>
      <c r="JOI102" s="64"/>
      <c r="JOJ102" s="64"/>
      <c r="JOK102" s="64"/>
      <c r="JOL102" s="64"/>
      <c r="JOM102" s="64"/>
      <c r="JON102" s="64"/>
      <c r="JOO102" s="64"/>
      <c r="JOP102" s="64"/>
      <c r="JOQ102" s="64"/>
      <c r="JOR102" s="64"/>
      <c r="JOS102" s="64"/>
      <c r="JOT102" s="64"/>
      <c r="JOU102" s="64"/>
      <c r="JOV102" s="64"/>
      <c r="JOW102" s="64"/>
      <c r="JOX102" s="64"/>
      <c r="JOY102" s="64"/>
      <c r="JOZ102" s="64"/>
      <c r="JPA102" s="64"/>
      <c r="JPB102" s="64"/>
      <c r="JPC102" s="64"/>
      <c r="JPD102" s="64"/>
      <c r="JPE102" s="64"/>
      <c r="JPF102" s="64"/>
      <c r="JPG102" s="64"/>
      <c r="JPH102" s="64"/>
      <c r="JPI102" s="64"/>
      <c r="JPJ102" s="64"/>
      <c r="JPK102" s="64"/>
      <c r="JPL102" s="64"/>
      <c r="JPM102" s="64"/>
      <c r="JPN102" s="64"/>
      <c r="JPO102" s="64"/>
      <c r="JPP102" s="64"/>
      <c r="JPQ102" s="64"/>
      <c r="JPR102" s="64"/>
      <c r="JPS102" s="64"/>
      <c r="JPT102" s="64"/>
      <c r="JPU102" s="64"/>
      <c r="JPV102" s="64"/>
      <c r="JPW102" s="64"/>
      <c r="JPX102" s="64"/>
      <c r="JPY102" s="64"/>
      <c r="JPZ102" s="64"/>
      <c r="JQA102" s="64"/>
      <c r="JQB102" s="64"/>
      <c r="JQC102" s="64"/>
      <c r="JQD102" s="64"/>
      <c r="JQE102" s="64"/>
      <c r="JQF102" s="64"/>
      <c r="JQG102" s="64"/>
      <c r="JQH102" s="64"/>
      <c r="JQI102" s="64"/>
      <c r="JQJ102" s="64"/>
      <c r="JQK102" s="64"/>
      <c r="JQL102" s="64"/>
      <c r="JQM102" s="64"/>
      <c r="JQN102" s="64"/>
      <c r="JQO102" s="64"/>
      <c r="JQP102" s="64"/>
      <c r="JQQ102" s="64"/>
      <c r="JQR102" s="64"/>
      <c r="JQS102" s="64"/>
      <c r="JQT102" s="64"/>
      <c r="JQU102" s="64"/>
      <c r="JQV102" s="64"/>
      <c r="JQW102" s="64"/>
      <c r="JQX102" s="64"/>
      <c r="JQY102" s="64"/>
      <c r="JQZ102" s="64"/>
      <c r="JRA102" s="64"/>
      <c r="JRB102" s="64"/>
      <c r="JRC102" s="64"/>
      <c r="JRD102" s="64"/>
      <c r="JRE102" s="64"/>
      <c r="JRF102" s="64"/>
      <c r="JRG102" s="64"/>
      <c r="JRH102" s="64"/>
      <c r="JRI102" s="64"/>
      <c r="JRJ102" s="64"/>
      <c r="JRK102" s="64"/>
      <c r="JRL102" s="64"/>
      <c r="JRM102" s="64"/>
      <c r="JRN102" s="64"/>
      <c r="JRO102" s="64"/>
      <c r="JRP102" s="64"/>
      <c r="JRQ102" s="64"/>
      <c r="JRR102" s="64"/>
      <c r="JRS102" s="64"/>
      <c r="JRT102" s="64"/>
      <c r="JRU102" s="64"/>
      <c r="JRV102" s="64"/>
      <c r="JRW102" s="64"/>
      <c r="JRX102" s="64"/>
      <c r="JRY102" s="64"/>
      <c r="JRZ102" s="64"/>
      <c r="JSA102" s="64"/>
      <c r="JSB102" s="64"/>
      <c r="JSC102" s="64"/>
      <c r="JSD102" s="64"/>
      <c r="JSE102" s="64"/>
      <c r="JSF102" s="64"/>
      <c r="JSG102" s="64"/>
      <c r="JSH102" s="64"/>
      <c r="JSI102" s="64"/>
      <c r="JSJ102" s="64"/>
      <c r="JSK102" s="64"/>
      <c r="JSL102" s="64"/>
      <c r="JSM102" s="64"/>
      <c r="JSN102" s="64"/>
      <c r="JSO102" s="64"/>
      <c r="JSP102" s="64"/>
      <c r="JSQ102" s="64"/>
      <c r="JSR102" s="64"/>
      <c r="JSS102" s="64"/>
      <c r="JST102" s="64"/>
      <c r="JSU102" s="64"/>
      <c r="JSV102" s="64"/>
      <c r="JSW102" s="64"/>
      <c r="JSX102" s="64"/>
      <c r="JSY102" s="64"/>
      <c r="JSZ102" s="64"/>
      <c r="JTA102" s="64"/>
      <c r="JTB102" s="64"/>
      <c r="JTC102" s="64"/>
      <c r="JTD102" s="64"/>
      <c r="JTE102" s="64"/>
      <c r="JTF102" s="64"/>
      <c r="JTG102" s="64"/>
      <c r="JTH102" s="64"/>
      <c r="JTI102" s="64"/>
      <c r="JTJ102" s="64"/>
      <c r="JTK102" s="64"/>
      <c r="JTL102" s="64"/>
      <c r="JTM102" s="64"/>
      <c r="JTN102" s="64"/>
      <c r="JTO102" s="64"/>
      <c r="JTP102" s="64"/>
      <c r="JTQ102" s="64"/>
      <c r="JTR102" s="64"/>
      <c r="JTS102" s="64"/>
      <c r="JTT102" s="64"/>
      <c r="JTU102" s="64"/>
      <c r="JTV102" s="64"/>
      <c r="JTW102" s="64"/>
      <c r="JTX102" s="64"/>
      <c r="JTY102" s="64"/>
      <c r="JTZ102" s="64"/>
      <c r="JUA102" s="64"/>
      <c r="JUB102" s="64"/>
      <c r="JUC102" s="64"/>
      <c r="JUD102" s="64"/>
      <c r="JUE102" s="64"/>
      <c r="JUF102" s="64"/>
      <c r="JUG102" s="64"/>
      <c r="JUH102" s="64"/>
      <c r="JUI102" s="64"/>
      <c r="JUJ102" s="64"/>
      <c r="JUK102" s="64"/>
      <c r="JUL102" s="64"/>
      <c r="JUM102" s="64"/>
      <c r="JUN102" s="64"/>
      <c r="JUO102" s="64"/>
      <c r="JUP102" s="64"/>
      <c r="JUQ102" s="64"/>
      <c r="JUR102" s="64"/>
      <c r="JUS102" s="64"/>
      <c r="JUT102" s="64"/>
      <c r="JUU102" s="64"/>
      <c r="JUV102" s="64"/>
      <c r="JUW102" s="64"/>
      <c r="JUX102" s="64"/>
      <c r="JUY102" s="64"/>
      <c r="JUZ102" s="64"/>
      <c r="JVA102" s="64"/>
      <c r="JVB102" s="64"/>
      <c r="JVC102" s="64"/>
      <c r="JVD102" s="64"/>
      <c r="JVE102" s="64"/>
      <c r="JVF102" s="64"/>
      <c r="JVG102" s="64"/>
      <c r="JVH102" s="64"/>
      <c r="JVI102" s="64"/>
      <c r="JVJ102" s="64"/>
      <c r="JVK102" s="64"/>
      <c r="JVL102" s="64"/>
      <c r="JVM102" s="64"/>
      <c r="JVN102" s="64"/>
      <c r="JVO102" s="64"/>
      <c r="JVP102" s="64"/>
      <c r="JVQ102" s="64"/>
      <c r="JVR102" s="64"/>
      <c r="JVS102" s="64"/>
      <c r="JVT102" s="64"/>
      <c r="JWA102" s="64"/>
      <c r="JWB102" s="64"/>
      <c r="JWC102" s="64"/>
      <c r="JWD102" s="64"/>
      <c r="JWE102" s="64"/>
      <c r="JWF102" s="64"/>
      <c r="JWG102" s="64"/>
      <c r="JWH102" s="64"/>
      <c r="JWI102" s="64"/>
      <c r="JWJ102" s="64"/>
      <c r="JWK102" s="64"/>
      <c r="JWL102" s="64"/>
      <c r="JWM102" s="64"/>
      <c r="JWN102" s="64"/>
      <c r="JWO102" s="64"/>
      <c r="JWP102" s="64"/>
      <c r="JWQ102" s="64"/>
      <c r="JWR102" s="64"/>
      <c r="JWS102" s="64"/>
      <c r="JWT102" s="64"/>
      <c r="JWU102" s="64"/>
      <c r="JWV102" s="64"/>
      <c r="JWW102" s="64"/>
      <c r="JWX102" s="64"/>
      <c r="JWY102" s="64"/>
      <c r="JWZ102" s="64"/>
      <c r="JXA102" s="64"/>
      <c r="JXB102" s="64"/>
      <c r="JXC102" s="64"/>
      <c r="JXD102" s="64"/>
      <c r="JXE102" s="64"/>
      <c r="JXF102" s="64"/>
      <c r="JXG102" s="64"/>
      <c r="JXH102" s="64"/>
      <c r="JXI102" s="64"/>
      <c r="JXJ102" s="64"/>
      <c r="JXK102" s="64"/>
      <c r="JXL102" s="64"/>
      <c r="JXM102" s="64"/>
      <c r="JXN102" s="64"/>
      <c r="JXO102" s="64"/>
      <c r="JXP102" s="64"/>
      <c r="JXQ102" s="64"/>
      <c r="JXR102" s="64"/>
      <c r="JXS102" s="64"/>
      <c r="JXT102" s="64"/>
      <c r="JXU102" s="64"/>
      <c r="JXV102" s="64"/>
      <c r="JXW102" s="64"/>
      <c r="JXX102" s="64"/>
      <c r="JXY102" s="64"/>
      <c r="JXZ102" s="64"/>
      <c r="JYA102" s="64"/>
      <c r="JYB102" s="64"/>
      <c r="JYC102" s="64"/>
      <c r="JYD102" s="64"/>
      <c r="JYE102" s="64"/>
      <c r="JYF102" s="64"/>
      <c r="JYG102" s="64"/>
      <c r="JYH102" s="64"/>
      <c r="JYI102" s="64"/>
      <c r="JYJ102" s="64"/>
      <c r="JYK102" s="64"/>
      <c r="JYL102" s="64"/>
      <c r="JYM102" s="64"/>
      <c r="JYN102" s="64"/>
      <c r="JYO102" s="64"/>
      <c r="JYP102" s="64"/>
      <c r="JYQ102" s="64"/>
      <c r="JYR102" s="64"/>
      <c r="JYS102" s="64"/>
      <c r="JYT102" s="64"/>
      <c r="JYU102" s="64"/>
      <c r="JYV102" s="64"/>
      <c r="JYW102" s="64"/>
      <c r="JYX102" s="64"/>
      <c r="JYY102" s="64"/>
      <c r="JYZ102" s="64"/>
      <c r="JZA102" s="64"/>
      <c r="JZB102" s="64"/>
      <c r="JZC102" s="64"/>
      <c r="JZD102" s="64"/>
      <c r="JZE102" s="64"/>
      <c r="JZF102" s="64"/>
      <c r="JZG102" s="64"/>
      <c r="JZH102" s="64"/>
      <c r="JZI102" s="64"/>
      <c r="JZJ102" s="64"/>
      <c r="JZK102" s="64"/>
      <c r="JZL102" s="64"/>
      <c r="JZM102" s="64"/>
      <c r="JZN102" s="64"/>
      <c r="JZO102" s="64"/>
      <c r="JZP102" s="64"/>
      <c r="JZQ102" s="64"/>
      <c r="JZR102" s="64"/>
      <c r="JZS102" s="64"/>
      <c r="JZT102" s="64"/>
      <c r="JZU102" s="64"/>
      <c r="JZV102" s="64"/>
      <c r="JZW102" s="64"/>
      <c r="JZX102" s="64"/>
      <c r="JZY102" s="64"/>
      <c r="JZZ102" s="64"/>
      <c r="KAA102" s="64"/>
      <c r="KAB102" s="64"/>
      <c r="KAC102" s="64"/>
      <c r="KAD102" s="64"/>
      <c r="KAE102" s="64"/>
      <c r="KAF102" s="64"/>
      <c r="KAG102" s="64"/>
      <c r="KAH102" s="64"/>
      <c r="KAI102" s="64"/>
      <c r="KAJ102" s="64"/>
      <c r="KAK102" s="64"/>
      <c r="KAL102" s="64"/>
      <c r="KAM102" s="64"/>
      <c r="KAN102" s="64"/>
      <c r="KAO102" s="64"/>
      <c r="KAP102" s="64"/>
      <c r="KAQ102" s="64"/>
      <c r="KAR102" s="64"/>
      <c r="KAS102" s="64"/>
      <c r="KAT102" s="64"/>
      <c r="KAU102" s="64"/>
      <c r="KAV102" s="64"/>
      <c r="KAW102" s="64"/>
      <c r="KAX102" s="64"/>
      <c r="KAY102" s="64"/>
      <c r="KAZ102" s="64"/>
      <c r="KBA102" s="64"/>
      <c r="KBB102" s="64"/>
      <c r="KBC102" s="64"/>
      <c r="KBD102" s="64"/>
      <c r="KBE102" s="64"/>
      <c r="KBF102" s="64"/>
      <c r="KBG102" s="64"/>
      <c r="KBH102" s="64"/>
      <c r="KBI102" s="64"/>
      <c r="KBJ102" s="64"/>
      <c r="KBK102" s="64"/>
      <c r="KBL102" s="64"/>
      <c r="KBM102" s="64"/>
      <c r="KBN102" s="64"/>
      <c r="KBO102" s="64"/>
      <c r="KBP102" s="64"/>
      <c r="KBQ102" s="64"/>
      <c r="KBR102" s="64"/>
      <c r="KBS102" s="64"/>
      <c r="KBT102" s="64"/>
      <c r="KBU102" s="64"/>
      <c r="KBV102" s="64"/>
      <c r="KBW102" s="64"/>
      <c r="KBX102" s="64"/>
      <c r="KBY102" s="64"/>
      <c r="KBZ102" s="64"/>
      <c r="KCA102" s="64"/>
      <c r="KCB102" s="64"/>
      <c r="KCC102" s="64"/>
      <c r="KCD102" s="64"/>
      <c r="KCE102" s="64"/>
      <c r="KCF102" s="64"/>
      <c r="KCG102" s="64"/>
      <c r="KCH102" s="64"/>
      <c r="KCI102" s="64"/>
      <c r="KCJ102" s="64"/>
      <c r="KCK102" s="64"/>
      <c r="KCL102" s="64"/>
      <c r="KCM102" s="64"/>
      <c r="KCN102" s="64"/>
      <c r="KCO102" s="64"/>
      <c r="KCP102" s="64"/>
      <c r="KCQ102" s="64"/>
      <c r="KCR102" s="64"/>
      <c r="KCS102" s="64"/>
      <c r="KCT102" s="64"/>
      <c r="KCU102" s="64"/>
      <c r="KCV102" s="64"/>
      <c r="KCW102" s="64"/>
      <c r="KCX102" s="64"/>
      <c r="KCY102" s="64"/>
      <c r="KCZ102" s="64"/>
      <c r="KDA102" s="64"/>
      <c r="KDB102" s="64"/>
      <c r="KDC102" s="64"/>
      <c r="KDD102" s="64"/>
      <c r="KDE102" s="64"/>
      <c r="KDF102" s="64"/>
      <c r="KDG102" s="64"/>
      <c r="KDH102" s="64"/>
      <c r="KDI102" s="64"/>
      <c r="KDJ102" s="64"/>
      <c r="KDK102" s="64"/>
      <c r="KDL102" s="64"/>
      <c r="KDM102" s="64"/>
      <c r="KDN102" s="64"/>
      <c r="KDO102" s="64"/>
      <c r="KDP102" s="64"/>
      <c r="KDQ102" s="64"/>
      <c r="KDR102" s="64"/>
      <c r="KDS102" s="64"/>
      <c r="KDT102" s="64"/>
      <c r="KDU102" s="64"/>
      <c r="KDV102" s="64"/>
      <c r="KDW102" s="64"/>
      <c r="KDX102" s="64"/>
      <c r="KDY102" s="64"/>
      <c r="KDZ102" s="64"/>
      <c r="KEA102" s="64"/>
      <c r="KEB102" s="64"/>
      <c r="KEC102" s="64"/>
      <c r="KED102" s="64"/>
      <c r="KEE102" s="64"/>
      <c r="KEF102" s="64"/>
      <c r="KEG102" s="64"/>
      <c r="KEH102" s="64"/>
      <c r="KEI102" s="64"/>
      <c r="KEJ102" s="64"/>
      <c r="KEK102" s="64"/>
      <c r="KEL102" s="64"/>
      <c r="KEM102" s="64"/>
      <c r="KEN102" s="64"/>
      <c r="KEO102" s="64"/>
      <c r="KEP102" s="64"/>
      <c r="KEQ102" s="64"/>
      <c r="KER102" s="64"/>
      <c r="KES102" s="64"/>
      <c r="KET102" s="64"/>
      <c r="KEU102" s="64"/>
      <c r="KEV102" s="64"/>
      <c r="KEW102" s="64"/>
      <c r="KEX102" s="64"/>
      <c r="KEY102" s="64"/>
      <c r="KEZ102" s="64"/>
      <c r="KFA102" s="64"/>
      <c r="KFB102" s="64"/>
      <c r="KFC102" s="64"/>
      <c r="KFD102" s="64"/>
      <c r="KFE102" s="64"/>
      <c r="KFF102" s="64"/>
      <c r="KFG102" s="64"/>
      <c r="KFH102" s="64"/>
      <c r="KFI102" s="64"/>
      <c r="KFJ102" s="64"/>
      <c r="KFK102" s="64"/>
      <c r="KFL102" s="64"/>
      <c r="KFM102" s="64"/>
      <c r="KFN102" s="64"/>
      <c r="KFO102" s="64"/>
      <c r="KFP102" s="64"/>
      <c r="KFW102" s="64"/>
      <c r="KFX102" s="64"/>
      <c r="KFY102" s="64"/>
      <c r="KFZ102" s="64"/>
      <c r="KGA102" s="64"/>
      <c r="KGB102" s="64"/>
      <c r="KGC102" s="64"/>
      <c r="KGD102" s="64"/>
      <c r="KGE102" s="64"/>
      <c r="KGF102" s="64"/>
      <c r="KGG102" s="64"/>
      <c r="KGH102" s="64"/>
      <c r="KGI102" s="64"/>
      <c r="KGJ102" s="64"/>
      <c r="KGK102" s="64"/>
      <c r="KGL102" s="64"/>
      <c r="KGM102" s="64"/>
      <c r="KGN102" s="64"/>
      <c r="KGO102" s="64"/>
      <c r="KGP102" s="64"/>
      <c r="KGQ102" s="64"/>
      <c r="KGR102" s="64"/>
      <c r="KGS102" s="64"/>
      <c r="KGT102" s="64"/>
      <c r="KGU102" s="64"/>
      <c r="KGV102" s="64"/>
      <c r="KGW102" s="64"/>
      <c r="KGX102" s="64"/>
      <c r="KGY102" s="64"/>
      <c r="KGZ102" s="64"/>
      <c r="KHA102" s="64"/>
      <c r="KHB102" s="64"/>
      <c r="KHC102" s="64"/>
      <c r="KHD102" s="64"/>
      <c r="KHE102" s="64"/>
      <c r="KHF102" s="64"/>
      <c r="KHG102" s="64"/>
      <c r="KHH102" s="64"/>
      <c r="KHI102" s="64"/>
      <c r="KHJ102" s="64"/>
      <c r="KHK102" s="64"/>
      <c r="KHL102" s="64"/>
      <c r="KHM102" s="64"/>
      <c r="KHN102" s="64"/>
      <c r="KHO102" s="64"/>
      <c r="KHP102" s="64"/>
      <c r="KHQ102" s="64"/>
      <c r="KHR102" s="64"/>
      <c r="KHS102" s="64"/>
      <c r="KHT102" s="64"/>
      <c r="KHU102" s="64"/>
      <c r="KHV102" s="64"/>
      <c r="KHW102" s="64"/>
      <c r="KHX102" s="64"/>
      <c r="KHY102" s="64"/>
      <c r="KHZ102" s="64"/>
      <c r="KIA102" s="64"/>
      <c r="KIB102" s="64"/>
      <c r="KIC102" s="64"/>
      <c r="KID102" s="64"/>
      <c r="KIE102" s="64"/>
      <c r="KIF102" s="64"/>
      <c r="KIG102" s="64"/>
      <c r="KIH102" s="64"/>
      <c r="KII102" s="64"/>
      <c r="KIJ102" s="64"/>
      <c r="KIK102" s="64"/>
      <c r="KIL102" s="64"/>
      <c r="KIM102" s="64"/>
      <c r="KIN102" s="64"/>
      <c r="KIO102" s="64"/>
      <c r="KIP102" s="64"/>
      <c r="KIQ102" s="64"/>
      <c r="KIR102" s="64"/>
      <c r="KIS102" s="64"/>
      <c r="KIT102" s="64"/>
      <c r="KIU102" s="64"/>
      <c r="KIV102" s="64"/>
      <c r="KIW102" s="64"/>
      <c r="KIX102" s="64"/>
      <c r="KIY102" s="64"/>
      <c r="KIZ102" s="64"/>
      <c r="KJA102" s="64"/>
      <c r="KJB102" s="64"/>
      <c r="KJC102" s="64"/>
      <c r="KJD102" s="64"/>
      <c r="KJE102" s="64"/>
      <c r="KJF102" s="64"/>
      <c r="KJG102" s="64"/>
      <c r="KJH102" s="64"/>
      <c r="KJI102" s="64"/>
      <c r="KJJ102" s="64"/>
      <c r="KJK102" s="64"/>
      <c r="KJL102" s="64"/>
      <c r="KJM102" s="64"/>
      <c r="KJN102" s="64"/>
      <c r="KJO102" s="64"/>
      <c r="KJP102" s="64"/>
      <c r="KJQ102" s="64"/>
      <c r="KJR102" s="64"/>
      <c r="KJS102" s="64"/>
      <c r="KJT102" s="64"/>
      <c r="KJU102" s="64"/>
      <c r="KJV102" s="64"/>
      <c r="KJW102" s="64"/>
      <c r="KJX102" s="64"/>
      <c r="KJY102" s="64"/>
      <c r="KJZ102" s="64"/>
      <c r="KKA102" s="64"/>
      <c r="KKB102" s="64"/>
      <c r="KKC102" s="64"/>
      <c r="KKD102" s="64"/>
      <c r="KKE102" s="64"/>
      <c r="KKF102" s="64"/>
      <c r="KKG102" s="64"/>
      <c r="KKH102" s="64"/>
      <c r="KKI102" s="64"/>
      <c r="KKJ102" s="64"/>
      <c r="KKK102" s="64"/>
      <c r="KKL102" s="64"/>
      <c r="KKM102" s="64"/>
      <c r="KKN102" s="64"/>
      <c r="KKO102" s="64"/>
      <c r="KKP102" s="64"/>
      <c r="KKQ102" s="64"/>
      <c r="KKR102" s="64"/>
      <c r="KKS102" s="64"/>
      <c r="KKT102" s="64"/>
      <c r="KKU102" s="64"/>
      <c r="KKV102" s="64"/>
      <c r="KKW102" s="64"/>
      <c r="KKX102" s="64"/>
      <c r="KKY102" s="64"/>
      <c r="KKZ102" s="64"/>
      <c r="KLA102" s="64"/>
      <c r="KLB102" s="64"/>
      <c r="KLC102" s="64"/>
      <c r="KLD102" s="64"/>
      <c r="KLE102" s="64"/>
      <c r="KLF102" s="64"/>
      <c r="KLG102" s="64"/>
      <c r="KLH102" s="64"/>
      <c r="KLI102" s="64"/>
      <c r="KLJ102" s="64"/>
      <c r="KLK102" s="64"/>
      <c r="KLL102" s="64"/>
      <c r="KLM102" s="64"/>
      <c r="KLN102" s="64"/>
      <c r="KLO102" s="64"/>
      <c r="KLP102" s="64"/>
      <c r="KLQ102" s="64"/>
      <c r="KLR102" s="64"/>
      <c r="KLS102" s="64"/>
      <c r="KLT102" s="64"/>
      <c r="KLU102" s="64"/>
      <c r="KLV102" s="64"/>
      <c r="KLW102" s="64"/>
      <c r="KLX102" s="64"/>
      <c r="KLY102" s="64"/>
      <c r="KLZ102" s="64"/>
      <c r="KMA102" s="64"/>
      <c r="KMB102" s="64"/>
      <c r="KMC102" s="64"/>
      <c r="KMD102" s="64"/>
      <c r="KME102" s="64"/>
      <c r="KMF102" s="64"/>
      <c r="KMG102" s="64"/>
      <c r="KMH102" s="64"/>
      <c r="KMI102" s="64"/>
      <c r="KMJ102" s="64"/>
      <c r="KMK102" s="64"/>
      <c r="KML102" s="64"/>
      <c r="KMM102" s="64"/>
      <c r="KMN102" s="64"/>
      <c r="KMO102" s="64"/>
      <c r="KMP102" s="64"/>
      <c r="KMQ102" s="64"/>
      <c r="KMR102" s="64"/>
      <c r="KMS102" s="64"/>
      <c r="KMT102" s="64"/>
      <c r="KMU102" s="64"/>
      <c r="KMV102" s="64"/>
      <c r="KMW102" s="64"/>
      <c r="KMX102" s="64"/>
      <c r="KMY102" s="64"/>
      <c r="KMZ102" s="64"/>
      <c r="KNA102" s="64"/>
      <c r="KNB102" s="64"/>
      <c r="KNC102" s="64"/>
      <c r="KND102" s="64"/>
      <c r="KNE102" s="64"/>
      <c r="KNF102" s="64"/>
      <c r="KNG102" s="64"/>
      <c r="KNH102" s="64"/>
      <c r="KNI102" s="64"/>
      <c r="KNJ102" s="64"/>
      <c r="KNK102" s="64"/>
      <c r="KNL102" s="64"/>
      <c r="KNM102" s="64"/>
      <c r="KNN102" s="64"/>
      <c r="KNO102" s="64"/>
      <c r="KNP102" s="64"/>
      <c r="KNQ102" s="64"/>
      <c r="KNR102" s="64"/>
      <c r="KNS102" s="64"/>
      <c r="KNT102" s="64"/>
      <c r="KNU102" s="64"/>
      <c r="KNV102" s="64"/>
      <c r="KNW102" s="64"/>
      <c r="KNX102" s="64"/>
      <c r="KNY102" s="64"/>
      <c r="KNZ102" s="64"/>
      <c r="KOA102" s="64"/>
      <c r="KOB102" s="64"/>
      <c r="KOC102" s="64"/>
      <c r="KOD102" s="64"/>
      <c r="KOE102" s="64"/>
      <c r="KOF102" s="64"/>
      <c r="KOG102" s="64"/>
      <c r="KOH102" s="64"/>
      <c r="KOI102" s="64"/>
      <c r="KOJ102" s="64"/>
      <c r="KOK102" s="64"/>
      <c r="KOL102" s="64"/>
      <c r="KOM102" s="64"/>
      <c r="KON102" s="64"/>
      <c r="KOO102" s="64"/>
      <c r="KOP102" s="64"/>
      <c r="KOQ102" s="64"/>
      <c r="KOR102" s="64"/>
      <c r="KOS102" s="64"/>
      <c r="KOT102" s="64"/>
      <c r="KOU102" s="64"/>
      <c r="KOV102" s="64"/>
      <c r="KOW102" s="64"/>
      <c r="KOX102" s="64"/>
      <c r="KOY102" s="64"/>
      <c r="KOZ102" s="64"/>
      <c r="KPA102" s="64"/>
      <c r="KPB102" s="64"/>
      <c r="KPC102" s="64"/>
      <c r="KPD102" s="64"/>
      <c r="KPE102" s="64"/>
      <c r="KPF102" s="64"/>
      <c r="KPG102" s="64"/>
      <c r="KPH102" s="64"/>
      <c r="KPI102" s="64"/>
      <c r="KPJ102" s="64"/>
      <c r="KPK102" s="64"/>
      <c r="KPL102" s="64"/>
      <c r="KPS102" s="64"/>
      <c r="KPT102" s="64"/>
      <c r="KPU102" s="64"/>
      <c r="KPV102" s="64"/>
      <c r="KPW102" s="64"/>
      <c r="KPX102" s="64"/>
      <c r="KPY102" s="64"/>
      <c r="KPZ102" s="64"/>
      <c r="KQA102" s="64"/>
      <c r="KQB102" s="64"/>
      <c r="KQC102" s="64"/>
      <c r="KQD102" s="64"/>
      <c r="KQE102" s="64"/>
      <c r="KQF102" s="64"/>
      <c r="KQG102" s="64"/>
      <c r="KQH102" s="64"/>
      <c r="KQI102" s="64"/>
      <c r="KQJ102" s="64"/>
      <c r="KQK102" s="64"/>
      <c r="KQL102" s="64"/>
      <c r="KQM102" s="64"/>
      <c r="KQN102" s="64"/>
      <c r="KQO102" s="64"/>
      <c r="KQP102" s="64"/>
      <c r="KQQ102" s="64"/>
      <c r="KQR102" s="64"/>
      <c r="KQS102" s="64"/>
      <c r="KQT102" s="64"/>
      <c r="KQU102" s="64"/>
      <c r="KQV102" s="64"/>
      <c r="KQW102" s="64"/>
      <c r="KQX102" s="64"/>
      <c r="KQY102" s="64"/>
      <c r="KQZ102" s="64"/>
      <c r="KRA102" s="64"/>
      <c r="KRB102" s="64"/>
      <c r="KRC102" s="64"/>
      <c r="KRD102" s="64"/>
      <c r="KRE102" s="64"/>
      <c r="KRF102" s="64"/>
      <c r="KRG102" s="64"/>
      <c r="KRH102" s="64"/>
      <c r="KRI102" s="64"/>
      <c r="KRJ102" s="64"/>
      <c r="KRK102" s="64"/>
      <c r="KRL102" s="64"/>
      <c r="KRM102" s="64"/>
      <c r="KRN102" s="64"/>
      <c r="KRO102" s="64"/>
      <c r="KRP102" s="64"/>
      <c r="KRQ102" s="64"/>
      <c r="KRR102" s="64"/>
      <c r="KRS102" s="64"/>
      <c r="KRT102" s="64"/>
      <c r="KRU102" s="64"/>
      <c r="KRV102" s="64"/>
      <c r="KRW102" s="64"/>
      <c r="KRX102" s="64"/>
      <c r="KRY102" s="64"/>
      <c r="KRZ102" s="64"/>
      <c r="KSA102" s="64"/>
      <c r="KSB102" s="64"/>
      <c r="KSC102" s="64"/>
      <c r="KSD102" s="64"/>
      <c r="KSE102" s="64"/>
      <c r="KSF102" s="64"/>
      <c r="KSG102" s="64"/>
      <c r="KSH102" s="64"/>
      <c r="KSI102" s="64"/>
      <c r="KSJ102" s="64"/>
      <c r="KSK102" s="64"/>
      <c r="KSL102" s="64"/>
      <c r="KSM102" s="64"/>
      <c r="KSN102" s="64"/>
      <c r="KSO102" s="64"/>
      <c r="KSP102" s="64"/>
      <c r="KSQ102" s="64"/>
      <c r="KSR102" s="64"/>
      <c r="KSS102" s="64"/>
      <c r="KST102" s="64"/>
      <c r="KSU102" s="64"/>
      <c r="KSV102" s="64"/>
      <c r="KSW102" s="64"/>
      <c r="KSX102" s="64"/>
      <c r="KSY102" s="64"/>
      <c r="KSZ102" s="64"/>
      <c r="KTA102" s="64"/>
      <c r="KTB102" s="64"/>
      <c r="KTC102" s="64"/>
      <c r="KTD102" s="64"/>
      <c r="KTE102" s="64"/>
      <c r="KTF102" s="64"/>
      <c r="KTG102" s="64"/>
      <c r="KTH102" s="64"/>
      <c r="KTI102" s="64"/>
      <c r="KTJ102" s="64"/>
      <c r="KTK102" s="64"/>
      <c r="KTL102" s="64"/>
      <c r="KTM102" s="64"/>
      <c r="KTN102" s="64"/>
      <c r="KTO102" s="64"/>
      <c r="KTP102" s="64"/>
      <c r="KTQ102" s="64"/>
      <c r="KTR102" s="64"/>
      <c r="KTS102" s="64"/>
      <c r="KTT102" s="64"/>
      <c r="KTU102" s="64"/>
      <c r="KTV102" s="64"/>
      <c r="KTW102" s="64"/>
      <c r="KTX102" s="64"/>
      <c r="KTY102" s="64"/>
      <c r="KTZ102" s="64"/>
      <c r="KUA102" s="64"/>
      <c r="KUB102" s="64"/>
      <c r="KUC102" s="64"/>
      <c r="KUD102" s="64"/>
      <c r="KUE102" s="64"/>
      <c r="KUF102" s="64"/>
      <c r="KUG102" s="64"/>
      <c r="KUH102" s="64"/>
      <c r="KUI102" s="64"/>
      <c r="KUJ102" s="64"/>
      <c r="KUK102" s="64"/>
      <c r="KUL102" s="64"/>
      <c r="KUM102" s="64"/>
      <c r="KUN102" s="64"/>
      <c r="KUO102" s="64"/>
      <c r="KUP102" s="64"/>
      <c r="KUQ102" s="64"/>
      <c r="KUR102" s="64"/>
      <c r="KUS102" s="64"/>
      <c r="KUT102" s="64"/>
      <c r="KUU102" s="64"/>
      <c r="KUV102" s="64"/>
      <c r="KUW102" s="64"/>
      <c r="KUX102" s="64"/>
      <c r="KUY102" s="64"/>
      <c r="KUZ102" s="64"/>
      <c r="KVA102" s="64"/>
      <c r="KVB102" s="64"/>
      <c r="KVC102" s="64"/>
      <c r="KVD102" s="64"/>
      <c r="KVE102" s="64"/>
      <c r="KVF102" s="64"/>
      <c r="KVG102" s="64"/>
      <c r="KVH102" s="64"/>
      <c r="KVI102" s="64"/>
      <c r="KVJ102" s="64"/>
      <c r="KVK102" s="64"/>
      <c r="KVL102" s="64"/>
      <c r="KVM102" s="64"/>
      <c r="KVN102" s="64"/>
      <c r="KVO102" s="64"/>
      <c r="KVP102" s="64"/>
      <c r="KVQ102" s="64"/>
      <c r="KVR102" s="64"/>
      <c r="KVS102" s="64"/>
      <c r="KVT102" s="64"/>
      <c r="KVU102" s="64"/>
      <c r="KVV102" s="64"/>
      <c r="KVW102" s="64"/>
      <c r="KVX102" s="64"/>
      <c r="KVY102" s="64"/>
      <c r="KVZ102" s="64"/>
      <c r="KWA102" s="64"/>
      <c r="KWB102" s="64"/>
      <c r="KWC102" s="64"/>
      <c r="KWD102" s="64"/>
      <c r="KWE102" s="64"/>
      <c r="KWF102" s="64"/>
      <c r="KWG102" s="64"/>
      <c r="KWH102" s="64"/>
      <c r="KWI102" s="64"/>
      <c r="KWJ102" s="64"/>
      <c r="KWK102" s="64"/>
      <c r="KWL102" s="64"/>
      <c r="KWM102" s="64"/>
      <c r="KWN102" s="64"/>
      <c r="KWO102" s="64"/>
      <c r="KWP102" s="64"/>
      <c r="KWQ102" s="64"/>
      <c r="KWR102" s="64"/>
      <c r="KWS102" s="64"/>
      <c r="KWT102" s="64"/>
      <c r="KWU102" s="64"/>
      <c r="KWV102" s="64"/>
      <c r="KWW102" s="64"/>
      <c r="KWX102" s="64"/>
      <c r="KWY102" s="64"/>
      <c r="KWZ102" s="64"/>
      <c r="KXA102" s="64"/>
      <c r="KXB102" s="64"/>
      <c r="KXC102" s="64"/>
      <c r="KXD102" s="64"/>
      <c r="KXE102" s="64"/>
      <c r="KXF102" s="64"/>
      <c r="KXG102" s="64"/>
      <c r="KXH102" s="64"/>
      <c r="KXI102" s="64"/>
      <c r="KXJ102" s="64"/>
      <c r="KXK102" s="64"/>
      <c r="KXL102" s="64"/>
      <c r="KXM102" s="64"/>
      <c r="KXN102" s="64"/>
      <c r="KXO102" s="64"/>
      <c r="KXP102" s="64"/>
      <c r="KXQ102" s="64"/>
      <c r="KXR102" s="64"/>
      <c r="KXS102" s="64"/>
      <c r="KXT102" s="64"/>
      <c r="KXU102" s="64"/>
      <c r="KXV102" s="64"/>
      <c r="KXW102" s="64"/>
      <c r="KXX102" s="64"/>
      <c r="KXY102" s="64"/>
      <c r="KXZ102" s="64"/>
      <c r="KYA102" s="64"/>
      <c r="KYB102" s="64"/>
      <c r="KYC102" s="64"/>
      <c r="KYD102" s="64"/>
      <c r="KYE102" s="64"/>
      <c r="KYF102" s="64"/>
      <c r="KYG102" s="64"/>
      <c r="KYH102" s="64"/>
      <c r="KYI102" s="64"/>
      <c r="KYJ102" s="64"/>
      <c r="KYK102" s="64"/>
      <c r="KYL102" s="64"/>
      <c r="KYM102" s="64"/>
      <c r="KYN102" s="64"/>
      <c r="KYO102" s="64"/>
      <c r="KYP102" s="64"/>
      <c r="KYQ102" s="64"/>
      <c r="KYR102" s="64"/>
      <c r="KYS102" s="64"/>
      <c r="KYT102" s="64"/>
      <c r="KYU102" s="64"/>
      <c r="KYV102" s="64"/>
      <c r="KYW102" s="64"/>
      <c r="KYX102" s="64"/>
      <c r="KYY102" s="64"/>
      <c r="KYZ102" s="64"/>
      <c r="KZA102" s="64"/>
      <c r="KZB102" s="64"/>
      <c r="KZC102" s="64"/>
      <c r="KZD102" s="64"/>
      <c r="KZE102" s="64"/>
      <c r="KZF102" s="64"/>
      <c r="KZG102" s="64"/>
      <c r="KZH102" s="64"/>
      <c r="KZO102" s="64"/>
      <c r="KZP102" s="64"/>
      <c r="KZQ102" s="64"/>
      <c r="KZR102" s="64"/>
      <c r="KZS102" s="64"/>
      <c r="KZT102" s="64"/>
      <c r="KZU102" s="64"/>
      <c r="KZV102" s="64"/>
      <c r="KZW102" s="64"/>
      <c r="KZX102" s="64"/>
      <c r="KZY102" s="64"/>
      <c r="KZZ102" s="64"/>
      <c r="LAA102" s="64"/>
      <c r="LAB102" s="64"/>
      <c r="LAC102" s="64"/>
      <c r="LAD102" s="64"/>
      <c r="LAE102" s="64"/>
      <c r="LAF102" s="64"/>
      <c r="LAG102" s="64"/>
      <c r="LAH102" s="64"/>
      <c r="LAI102" s="64"/>
      <c r="LAJ102" s="64"/>
      <c r="LAK102" s="64"/>
      <c r="LAL102" s="64"/>
      <c r="LAM102" s="64"/>
      <c r="LAN102" s="64"/>
      <c r="LAO102" s="64"/>
      <c r="LAP102" s="64"/>
      <c r="LAQ102" s="64"/>
      <c r="LAR102" s="64"/>
      <c r="LAS102" s="64"/>
      <c r="LAT102" s="64"/>
      <c r="LAU102" s="64"/>
      <c r="LAV102" s="64"/>
      <c r="LAW102" s="64"/>
      <c r="LAX102" s="64"/>
      <c r="LAY102" s="64"/>
      <c r="LAZ102" s="64"/>
      <c r="LBA102" s="64"/>
      <c r="LBB102" s="64"/>
      <c r="LBC102" s="64"/>
      <c r="LBD102" s="64"/>
      <c r="LBE102" s="64"/>
      <c r="LBF102" s="64"/>
      <c r="LBG102" s="64"/>
      <c r="LBH102" s="64"/>
      <c r="LBI102" s="64"/>
      <c r="LBJ102" s="64"/>
      <c r="LBK102" s="64"/>
      <c r="LBL102" s="64"/>
      <c r="LBM102" s="64"/>
      <c r="LBN102" s="64"/>
      <c r="LBO102" s="64"/>
      <c r="LBP102" s="64"/>
      <c r="LBQ102" s="64"/>
      <c r="LBR102" s="64"/>
      <c r="LBS102" s="64"/>
      <c r="LBT102" s="64"/>
      <c r="LBU102" s="64"/>
      <c r="LBV102" s="64"/>
      <c r="LBW102" s="64"/>
      <c r="LBX102" s="64"/>
      <c r="LBY102" s="64"/>
      <c r="LBZ102" s="64"/>
      <c r="LCA102" s="64"/>
      <c r="LCB102" s="64"/>
      <c r="LCC102" s="64"/>
      <c r="LCD102" s="64"/>
      <c r="LCE102" s="64"/>
      <c r="LCF102" s="64"/>
      <c r="LCG102" s="64"/>
      <c r="LCH102" s="64"/>
      <c r="LCI102" s="64"/>
      <c r="LCJ102" s="64"/>
      <c r="LCK102" s="64"/>
      <c r="LCL102" s="64"/>
      <c r="LCM102" s="64"/>
      <c r="LCN102" s="64"/>
      <c r="LCO102" s="64"/>
      <c r="LCP102" s="64"/>
      <c r="LCQ102" s="64"/>
      <c r="LCR102" s="64"/>
      <c r="LCS102" s="64"/>
      <c r="LCT102" s="64"/>
      <c r="LCU102" s="64"/>
      <c r="LCV102" s="64"/>
      <c r="LCW102" s="64"/>
      <c r="LCX102" s="64"/>
      <c r="LCY102" s="64"/>
      <c r="LCZ102" s="64"/>
      <c r="LDA102" s="64"/>
      <c r="LDB102" s="64"/>
      <c r="LDC102" s="64"/>
      <c r="LDD102" s="64"/>
      <c r="LDE102" s="64"/>
      <c r="LDF102" s="64"/>
      <c r="LDG102" s="64"/>
      <c r="LDH102" s="64"/>
      <c r="LDI102" s="64"/>
      <c r="LDJ102" s="64"/>
      <c r="LDK102" s="64"/>
      <c r="LDL102" s="64"/>
      <c r="LDM102" s="64"/>
      <c r="LDN102" s="64"/>
      <c r="LDO102" s="64"/>
      <c r="LDP102" s="64"/>
      <c r="LDQ102" s="64"/>
      <c r="LDR102" s="64"/>
      <c r="LDS102" s="64"/>
      <c r="LDT102" s="64"/>
      <c r="LDU102" s="64"/>
      <c r="LDV102" s="64"/>
      <c r="LDW102" s="64"/>
      <c r="LDX102" s="64"/>
      <c r="LDY102" s="64"/>
      <c r="LDZ102" s="64"/>
      <c r="LEA102" s="64"/>
      <c r="LEB102" s="64"/>
      <c r="LEC102" s="64"/>
      <c r="LED102" s="64"/>
      <c r="LEE102" s="64"/>
      <c r="LEF102" s="64"/>
      <c r="LEG102" s="64"/>
      <c r="LEH102" s="64"/>
      <c r="LEI102" s="64"/>
      <c r="LEJ102" s="64"/>
      <c r="LEK102" s="64"/>
      <c r="LEL102" s="64"/>
      <c r="LEM102" s="64"/>
      <c r="LEN102" s="64"/>
      <c r="LEO102" s="64"/>
      <c r="LEP102" s="64"/>
      <c r="LEQ102" s="64"/>
      <c r="LER102" s="64"/>
      <c r="LES102" s="64"/>
      <c r="LET102" s="64"/>
      <c r="LEU102" s="64"/>
      <c r="LEV102" s="64"/>
      <c r="LEW102" s="64"/>
      <c r="LEX102" s="64"/>
      <c r="LEY102" s="64"/>
      <c r="LEZ102" s="64"/>
      <c r="LFA102" s="64"/>
      <c r="LFB102" s="64"/>
      <c r="LFC102" s="64"/>
      <c r="LFD102" s="64"/>
      <c r="LFE102" s="64"/>
      <c r="LFF102" s="64"/>
      <c r="LFG102" s="64"/>
      <c r="LFH102" s="64"/>
      <c r="LFI102" s="64"/>
      <c r="LFJ102" s="64"/>
      <c r="LFK102" s="64"/>
      <c r="LFL102" s="64"/>
      <c r="LFM102" s="64"/>
      <c r="LFN102" s="64"/>
      <c r="LFO102" s="64"/>
      <c r="LFP102" s="64"/>
      <c r="LFQ102" s="64"/>
      <c r="LFR102" s="64"/>
      <c r="LFS102" s="64"/>
      <c r="LFT102" s="64"/>
      <c r="LFU102" s="64"/>
      <c r="LFV102" s="64"/>
      <c r="LFW102" s="64"/>
      <c r="LFX102" s="64"/>
      <c r="LFY102" s="64"/>
      <c r="LFZ102" s="64"/>
      <c r="LGA102" s="64"/>
      <c r="LGB102" s="64"/>
      <c r="LGC102" s="64"/>
      <c r="LGD102" s="64"/>
      <c r="LGE102" s="64"/>
      <c r="LGF102" s="64"/>
      <c r="LGG102" s="64"/>
      <c r="LGH102" s="64"/>
      <c r="LGI102" s="64"/>
      <c r="LGJ102" s="64"/>
      <c r="LGK102" s="64"/>
      <c r="LGL102" s="64"/>
      <c r="LGM102" s="64"/>
      <c r="LGN102" s="64"/>
      <c r="LGO102" s="64"/>
      <c r="LGP102" s="64"/>
      <c r="LGQ102" s="64"/>
      <c r="LGR102" s="64"/>
      <c r="LGS102" s="64"/>
      <c r="LGT102" s="64"/>
      <c r="LGU102" s="64"/>
      <c r="LGV102" s="64"/>
      <c r="LGW102" s="64"/>
      <c r="LGX102" s="64"/>
      <c r="LGY102" s="64"/>
      <c r="LGZ102" s="64"/>
      <c r="LHA102" s="64"/>
      <c r="LHB102" s="64"/>
      <c r="LHC102" s="64"/>
      <c r="LHD102" s="64"/>
      <c r="LHE102" s="64"/>
      <c r="LHF102" s="64"/>
      <c r="LHG102" s="64"/>
      <c r="LHH102" s="64"/>
      <c r="LHI102" s="64"/>
      <c r="LHJ102" s="64"/>
      <c r="LHK102" s="64"/>
      <c r="LHL102" s="64"/>
      <c r="LHM102" s="64"/>
      <c r="LHN102" s="64"/>
      <c r="LHO102" s="64"/>
      <c r="LHP102" s="64"/>
      <c r="LHQ102" s="64"/>
      <c r="LHR102" s="64"/>
      <c r="LHS102" s="64"/>
      <c r="LHT102" s="64"/>
      <c r="LHU102" s="64"/>
      <c r="LHV102" s="64"/>
      <c r="LHW102" s="64"/>
      <c r="LHX102" s="64"/>
      <c r="LHY102" s="64"/>
      <c r="LHZ102" s="64"/>
      <c r="LIA102" s="64"/>
      <c r="LIB102" s="64"/>
      <c r="LIC102" s="64"/>
      <c r="LID102" s="64"/>
      <c r="LIE102" s="64"/>
      <c r="LIF102" s="64"/>
      <c r="LIG102" s="64"/>
      <c r="LIH102" s="64"/>
      <c r="LII102" s="64"/>
      <c r="LIJ102" s="64"/>
      <c r="LIK102" s="64"/>
      <c r="LIL102" s="64"/>
      <c r="LIM102" s="64"/>
      <c r="LIN102" s="64"/>
      <c r="LIO102" s="64"/>
      <c r="LIP102" s="64"/>
      <c r="LIQ102" s="64"/>
      <c r="LIR102" s="64"/>
      <c r="LIS102" s="64"/>
      <c r="LIT102" s="64"/>
      <c r="LIU102" s="64"/>
      <c r="LIV102" s="64"/>
      <c r="LIW102" s="64"/>
      <c r="LIX102" s="64"/>
      <c r="LIY102" s="64"/>
      <c r="LIZ102" s="64"/>
      <c r="LJA102" s="64"/>
      <c r="LJB102" s="64"/>
      <c r="LJC102" s="64"/>
      <c r="LJD102" s="64"/>
      <c r="LJK102" s="64"/>
      <c r="LJL102" s="64"/>
      <c r="LJM102" s="64"/>
      <c r="LJN102" s="64"/>
      <c r="LJO102" s="64"/>
      <c r="LJP102" s="64"/>
      <c r="LJQ102" s="64"/>
      <c r="LJR102" s="64"/>
      <c r="LJS102" s="64"/>
      <c r="LJT102" s="64"/>
      <c r="LJU102" s="64"/>
      <c r="LJV102" s="64"/>
      <c r="LJW102" s="64"/>
      <c r="LJX102" s="64"/>
      <c r="LJY102" s="64"/>
      <c r="LJZ102" s="64"/>
      <c r="LKA102" s="64"/>
      <c r="LKB102" s="64"/>
      <c r="LKC102" s="64"/>
      <c r="LKD102" s="64"/>
      <c r="LKE102" s="64"/>
      <c r="LKF102" s="64"/>
      <c r="LKG102" s="64"/>
      <c r="LKH102" s="64"/>
      <c r="LKI102" s="64"/>
      <c r="LKJ102" s="64"/>
      <c r="LKK102" s="64"/>
      <c r="LKL102" s="64"/>
      <c r="LKM102" s="64"/>
      <c r="LKN102" s="64"/>
      <c r="LKO102" s="64"/>
      <c r="LKP102" s="64"/>
      <c r="LKQ102" s="64"/>
      <c r="LKR102" s="64"/>
      <c r="LKS102" s="64"/>
      <c r="LKT102" s="64"/>
      <c r="LKU102" s="64"/>
      <c r="LKV102" s="64"/>
      <c r="LKW102" s="64"/>
      <c r="LKX102" s="64"/>
      <c r="LKY102" s="64"/>
      <c r="LKZ102" s="64"/>
      <c r="LLA102" s="64"/>
      <c r="LLB102" s="64"/>
      <c r="LLC102" s="64"/>
      <c r="LLD102" s="64"/>
      <c r="LLE102" s="64"/>
      <c r="LLF102" s="64"/>
      <c r="LLG102" s="64"/>
      <c r="LLH102" s="64"/>
      <c r="LLI102" s="64"/>
      <c r="LLJ102" s="64"/>
      <c r="LLK102" s="64"/>
      <c r="LLL102" s="64"/>
      <c r="LLM102" s="64"/>
      <c r="LLN102" s="64"/>
      <c r="LLO102" s="64"/>
      <c r="LLP102" s="64"/>
      <c r="LLQ102" s="64"/>
      <c r="LLR102" s="64"/>
      <c r="LLS102" s="64"/>
      <c r="LLT102" s="64"/>
      <c r="LLU102" s="64"/>
      <c r="LLV102" s="64"/>
      <c r="LLW102" s="64"/>
      <c r="LLX102" s="64"/>
      <c r="LLY102" s="64"/>
      <c r="LLZ102" s="64"/>
      <c r="LMA102" s="64"/>
      <c r="LMB102" s="64"/>
      <c r="LMC102" s="64"/>
      <c r="LMD102" s="64"/>
      <c r="LME102" s="64"/>
      <c r="LMF102" s="64"/>
      <c r="LMG102" s="64"/>
      <c r="LMH102" s="64"/>
      <c r="LMI102" s="64"/>
      <c r="LMJ102" s="64"/>
      <c r="LMK102" s="64"/>
      <c r="LML102" s="64"/>
      <c r="LMM102" s="64"/>
      <c r="LMN102" s="64"/>
      <c r="LMO102" s="64"/>
      <c r="LMP102" s="64"/>
      <c r="LMQ102" s="64"/>
      <c r="LMR102" s="64"/>
      <c r="LMS102" s="64"/>
      <c r="LMT102" s="64"/>
      <c r="LMU102" s="64"/>
      <c r="LMV102" s="64"/>
      <c r="LMW102" s="64"/>
      <c r="LMX102" s="64"/>
      <c r="LMY102" s="64"/>
      <c r="LMZ102" s="64"/>
      <c r="LNA102" s="64"/>
      <c r="LNB102" s="64"/>
      <c r="LNC102" s="64"/>
      <c r="LND102" s="64"/>
      <c r="LNE102" s="64"/>
      <c r="LNF102" s="64"/>
      <c r="LNG102" s="64"/>
      <c r="LNH102" s="64"/>
      <c r="LNI102" s="64"/>
      <c r="LNJ102" s="64"/>
      <c r="LNK102" s="64"/>
      <c r="LNL102" s="64"/>
      <c r="LNM102" s="64"/>
      <c r="LNN102" s="64"/>
      <c r="LNO102" s="64"/>
      <c r="LNP102" s="64"/>
      <c r="LNQ102" s="64"/>
      <c r="LNR102" s="64"/>
      <c r="LNS102" s="64"/>
      <c r="LNT102" s="64"/>
      <c r="LNU102" s="64"/>
      <c r="LNV102" s="64"/>
      <c r="LNW102" s="64"/>
      <c r="LNX102" s="64"/>
      <c r="LNY102" s="64"/>
      <c r="LNZ102" s="64"/>
      <c r="LOA102" s="64"/>
      <c r="LOB102" s="64"/>
      <c r="LOC102" s="64"/>
      <c r="LOD102" s="64"/>
      <c r="LOE102" s="64"/>
      <c r="LOF102" s="64"/>
      <c r="LOG102" s="64"/>
      <c r="LOH102" s="64"/>
      <c r="LOI102" s="64"/>
      <c r="LOJ102" s="64"/>
      <c r="LOK102" s="64"/>
      <c r="LOL102" s="64"/>
      <c r="LOM102" s="64"/>
      <c r="LON102" s="64"/>
      <c r="LOO102" s="64"/>
      <c r="LOP102" s="64"/>
      <c r="LOQ102" s="64"/>
      <c r="LOR102" s="64"/>
      <c r="LOS102" s="64"/>
      <c r="LOT102" s="64"/>
      <c r="LOU102" s="64"/>
      <c r="LOV102" s="64"/>
      <c r="LOW102" s="64"/>
      <c r="LOX102" s="64"/>
      <c r="LOY102" s="64"/>
      <c r="LOZ102" s="64"/>
      <c r="LPA102" s="64"/>
      <c r="LPB102" s="64"/>
      <c r="LPC102" s="64"/>
      <c r="LPD102" s="64"/>
      <c r="LPE102" s="64"/>
      <c r="LPF102" s="64"/>
      <c r="LPG102" s="64"/>
      <c r="LPH102" s="64"/>
      <c r="LPI102" s="64"/>
      <c r="LPJ102" s="64"/>
      <c r="LPK102" s="64"/>
      <c r="LPL102" s="64"/>
      <c r="LPM102" s="64"/>
      <c r="LPN102" s="64"/>
      <c r="LPO102" s="64"/>
      <c r="LPP102" s="64"/>
      <c r="LPQ102" s="64"/>
      <c r="LPR102" s="64"/>
      <c r="LPS102" s="64"/>
      <c r="LPT102" s="64"/>
      <c r="LPU102" s="64"/>
      <c r="LPV102" s="64"/>
      <c r="LPW102" s="64"/>
      <c r="LPX102" s="64"/>
      <c r="LPY102" s="64"/>
      <c r="LPZ102" s="64"/>
      <c r="LQA102" s="64"/>
      <c r="LQB102" s="64"/>
      <c r="LQC102" s="64"/>
      <c r="LQD102" s="64"/>
      <c r="LQE102" s="64"/>
      <c r="LQF102" s="64"/>
      <c r="LQG102" s="64"/>
      <c r="LQH102" s="64"/>
      <c r="LQI102" s="64"/>
      <c r="LQJ102" s="64"/>
      <c r="LQK102" s="64"/>
      <c r="LQL102" s="64"/>
      <c r="LQM102" s="64"/>
      <c r="LQN102" s="64"/>
      <c r="LQO102" s="64"/>
      <c r="LQP102" s="64"/>
      <c r="LQQ102" s="64"/>
      <c r="LQR102" s="64"/>
      <c r="LQS102" s="64"/>
      <c r="LQT102" s="64"/>
      <c r="LQU102" s="64"/>
      <c r="LQV102" s="64"/>
      <c r="LQW102" s="64"/>
      <c r="LQX102" s="64"/>
      <c r="LQY102" s="64"/>
      <c r="LQZ102" s="64"/>
      <c r="LRA102" s="64"/>
      <c r="LRB102" s="64"/>
      <c r="LRC102" s="64"/>
      <c r="LRD102" s="64"/>
      <c r="LRE102" s="64"/>
      <c r="LRF102" s="64"/>
      <c r="LRG102" s="64"/>
      <c r="LRH102" s="64"/>
      <c r="LRI102" s="64"/>
      <c r="LRJ102" s="64"/>
      <c r="LRK102" s="64"/>
      <c r="LRL102" s="64"/>
      <c r="LRM102" s="64"/>
      <c r="LRN102" s="64"/>
      <c r="LRO102" s="64"/>
      <c r="LRP102" s="64"/>
      <c r="LRQ102" s="64"/>
      <c r="LRR102" s="64"/>
      <c r="LRS102" s="64"/>
      <c r="LRT102" s="64"/>
      <c r="LRU102" s="64"/>
      <c r="LRV102" s="64"/>
      <c r="LRW102" s="64"/>
      <c r="LRX102" s="64"/>
      <c r="LRY102" s="64"/>
      <c r="LRZ102" s="64"/>
      <c r="LSA102" s="64"/>
      <c r="LSB102" s="64"/>
      <c r="LSC102" s="64"/>
      <c r="LSD102" s="64"/>
      <c r="LSE102" s="64"/>
      <c r="LSF102" s="64"/>
      <c r="LSG102" s="64"/>
      <c r="LSH102" s="64"/>
      <c r="LSI102" s="64"/>
      <c r="LSJ102" s="64"/>
      <c r="LSK102" s="64"/>
      <c r="LSL102" s="64"/>
      <c r="LSM102" s="64"/>
      <c r="LSN102" s="64"/>
      <c r="LSO102" s="64"/>
      <c r="LSP102" s="64"/>
      <c r="LSQ102" s="64"/>
      <c r="LSR102" s="64"/>
      <c r="LSS102" s="64"/>
      <c r="LST102" s="64"/>
      <c r="LSU102" s="64"/>
      <c r="LSV102" s="64"/>
      <c r="LSW102" s="64"/>
      <c r="LSX102" s="64"/>
      <c r="LSY102" s="64"/>
      <c r="LSZ102" s="64"/>
      <c r="LTG102" s="64"/>
      <c r="LTH102" s="64"/>
      <c r="LTI102" s="64"/>
      <c r="LTJ102" s="64"/>
      <c r="LTK102" s="64"/>
      <c r="LTL102" s="64"/>
      <c r="LTM102" s="64"/>
      <c r="LTN102" s="64"/>
      <c r="LTO102" s="64"/>
      <c r="LTP102" s="64"/>
      <c r="LTQ102" s="64"/>
      <c r="LTR102" s="64"/>
      <c r="LTS102" s="64"/>
      <c r="LTT102" s="64"/>
      <c r="LTU102" s="64"/>
      <c r="LTV102" s="64"/>
      <c r="LTW102" s="64"/>
      <c r="LTX102" s="64"/>
      <c r="LTY102" s="64"/>
      <c r="LTZ102" s="64"/>
      <c r="LUA102" s="64"/>
      <c r="LUB102" s="64"/>
      <c r="LUC102" s="64"/>
      <c r="LUD102" s="64"/>
      <c r="LUE102" s="64"/>
      <c r="LUF102" s="64"/>
      <c r="LUG102" s="64"/>
      <c r="LUH102" s="64"/>
      <c r="LUI102" s="64"/>
      <c r="LUJ102" s="64"/>
      <c r="LUK102" s="64"/>
      <c r="LUL102" s="64"/>
      <c r="LUM102" s="64"/>
      <c r="LUN102" s="64"/>
      <c r="LUO102" s="64"/>
      <c r="LUP102" s="64"/>
      <c r="LUQ102" s="64"/>
      <c r="LUR102" s="64"/>
      <c r="LUS102" s="64"/>
      <c r="LUT102" s="64"/>
      <c r="LUU102" s="64"/>
      <c r="LUV102" s="64"/>
      <c r="LUW102" s="64"/>
      <c r="LUX102" s="64"/>
      <c r="LUY102" s="64"/>
      <c r="LUZ102" s="64"/>
      <c r="LVA102" s="64"/>
      <c r="LVB102" s="64"/>
      <c r="LVC102" s="64"/>
      <c r="LVD102" s="64"/>
      <c r="LVE102" s="64"/>
      <c r="LVF102" s="64"/>
      <c r="LVG102" s="64"/>
      <c r="LVH102" s="64"/>
      <c r="LVI102" s="64"/>
      <c r="LVJ102" s="64"/>
      <c r="LVK102" s="64"/>
      <c r="LVL102" s="64"/>
      <c r="LVM102" s="64"/>
      <c r="LVN102" s="64"/>
      <c r="LVO102" s="64"/>
      <c r="LVP102" s="64"/>
      <c r="LVQ102" s="64"/>
      <c r="LVR102" s="64"/>
      <c r="LVS102" s="64"/>
      <c r="LVT102" s="64"/>
      <c r="LVU102" s="64"/>
      <c r="LVV102" s="64"/>
      <c r="LVW102" s="64"/>
      <c r="LVX102" s="64"/>
      <c r="LVY102" s="64"/>
      <c r="LVZ102" s="64"/>
      <c r="LWA102" s="64"/>
      <c r="LWB102" s="64"/>
      <c r="LWC102" s="64"/>
      <c r="LWD102" s="64"/>
      <c r="LWE102" s="64"/>
      <c r="LWF102" s="64"/>
      <c r="LWG102" s="64"/>
      <c r="LWH102" s="64"/>
      <c r="LWI102" s="64"/>
      <c r="LWJ102" s="64"/>
      <c r="LWK102" s="64"/>
      <c r="LWL102" s="64"/>
      <c r="LWM102" s="64"/>
      <c r="LWN102" s="64"/>
      <c r="LWO102" s="64"/>
      <c r="LWP102" s="64"/>
      <c r="LWQ102" s="64"/>
      <c r="LWR102" s="64"/>
      <c r="LWS102" s="64"/>
      <c r="LWT102" s="64"/>
      <c r="LWU102" s="64"/>
      <c r="LWV102" s="64"/>
      <c r="LWW102" s="64"/>
      <c r="LWX102" s="64"/>
      <c r="LWY102" s="64"/>
      <c r="LWZ102" s="64"/>
      <c r="LXA102" s="64"/>
      <c r="LXB102" s="64"/>
      <c r="LXC102" s="64"/>
      <c r="LXD102" s="64"/>
      <c r="LXE102" s="64"/>
      <c r="LXF102" s="64"/>
      <c r="LXG102" s="64"/>
      <c r="LXH102" s="64"/>
      <c r="LXI102" s="64"/>
      <c r="LXJ102" s="64"/>
      <c r="LXK102" s="64"/>
      <c r="LXL102" s="64"/>
      <c r="LXM102" s="64"/>
      <c r="LXN102" s="64"/>
      <c r="LXO102" s="64"/>
      <c r="LXP102" s="64"/>
      <c r="LXQ102" s="64"/>
      <c r="LXR102" s="64"/>
      <c r="LXS102" s="64"/>
      <c r="LXT102" s="64"/>
      <c r="LXU102" s="64"/>
      <c r="LXV102" s="64"/>
      <c r="LXW102" s="64"/>
      <c r="LXX102" s="64"/>
      <c r="LXY102" s="64"/>
      <c r="LXZ102" s="64"/>
      <c r="LYA102" s="64"/>
      <c r="LYB102" s="64"/>
      <c r="LYC102" s="64"/>
      <c r="LYD102" s="64"/>
      <c r="LYE102" s="64"/>
      <c r="LYF102" s="64"/>
      <c r="LYG102" s="64"/>
      <c r="LYH102" s="64"/>
      <c r="LYI102" s="64"/>
      <c r="LYJ102" s="64"/>
      <c r="LYK102" s="64"/>
      <c r="LYL102" s="64"/>
      <c r="LYM102" s="64"/>
      <c r="LYN102" s="64"/>
      <c r="LYO102" s="64"/>
      <c r="LYP102" s="64"/>
      <c r="LYQ102" s="64"/>
      <c r="LYR102" s="64"/>
      <c r="LYS102" s="64"/>
      <c r="LYT102" s="64"/>
      <c r="LYU102" s="64"/>
      <c r="LYV102" s="64"/>
      <c r="LYW102" s="64"/>
      <c r="LYX102" s="64"/>
      <c r="LYY102" s="64"/>
      <c r="LYZ102" s="64"/>
      <c r="LZA102" s="64"/>
      <c r="LZB102" s="64"/>
      <c r="LZC102" s="64"/>
      <c r="LZD102" s="64"/>
      <c r="LZE102" s="64"/>
      <c r="LZF102" s="64"/>
      <c r="LZG102" s="64"/>
      <c r="LZH102" s="64"/>
      <c r="LZI102" s="64"/>
      <c r="LZJ102" s="64"/>
      <c r="LZK102" s="64"/>
      <c r="LZL102" s="64"/>
      <c r="LZM102" s="64"/>
      <c r="LZN102" s="64"/>
      <c r="LZO102" s="64"/>
      <c r="LZP102" s="64"/>
      <c r="LZQ102" s="64"/>
      <c r="LZR102" s="64"/>
      <c r="LZS102" s="64"/>
      <c r="LZT102" s="64"/>
      <c r="LZU102" s="64"/>
      <c r="LZV102" s="64"/>
      <c r="LZW102" s="64"/>
      <c r="LZX102" s="64"/>
      <c r="LZY102" s="64"/>
      <c r="LZZ102" s="64"/>
      <c r="MAA102" s="64"/>
      <c r="MAB102" s="64"/>
      <c r="MAC102" s="64"/>
      <c r="MAD102" s="64"/>
      <c r="MAE102" s="64"/>
      <c r="MAF102" s="64"/>
      <c r="MAG102" s="64"/>
      <c r="MAH102" s="64"/>
      <c r="MAI102" s="64"/>
      <c r="MAJ102" s="64"/>
      <c r="MAK102" s="64"/>
      <c r="MAL102" s="64"/>
      <c r="MAM102" s="64"/>
      <c r="MAN102" s="64"/>
      <c r="MAO102" s="64"/>
      <c r="MAP102" s="64"/>
      <c r="MAQ102" s="64"/>
      <c r="MAR102" s="64"/>
      <c r="MAS102" s="64"/>
      <c r="MAT102" s="64"/>
      <c r="MAU102" s="64"/>
      <c r="MAV102" s="64"/>
      <c r="MAW102" s="64"/>
      <c r="MAX102" s="64"/>
      <c r="MAY102" s="64"/>
      <c r="MAZ102" s="64"/>
      <c r="MBA102" s="64"/>
      <c r="MBB102" s="64"/>
      <c r="MBC102" s="64"/>
      <c r="MBD102" s="64"/>
      <c r="MBE102" s="64"/>
      <c r="MBF102" s="64"/>
      <c r="MBG102" s="64"/>
      <c r="MBH102" s="64"/>
      <c r="MBI102" s="64"/>
      <c r="MBJ102" s="64"/>
      <c r="MBK102" s="64"/>
      <c r="MBL102" s="64"/>
      <c r="MBM102" s="64"/>
      <c r="MBN102" s="64"/>
      <c r="MBO102" s="64"/>
      <c r="MBP102" s="64"/>
      <c r="MBQ102" s="64"/>
      <c r="MBR102" s="64"/>
      <c r="MBS102" s="64"/>
      <c r="MBT102" s="64"/>
      <c r="MBU102" s="64"/>
      <c r="MBV102" s="64"/>
      <c r="MBW102" s="64"/>
      <c r="MBX102" s="64"/>
      <c r="MBY102" s="64"/>
      <c r="MBZ102" s="64"/>
      <c r="MCA102" s="64"/>
      <c r="MCB102" s="64"/>
      <c r="MCC102" s="64"/>
      <c r="MCD102" s="64"/>
      <c r="MCE102" s="64"/>
      <c r="MCF102" s="64"/>
      <c r="MCG102" s="64"/>
      <c r="MCH102" s="64"/>
      <c r="MCI102" s="64"/>
      <c r="MCJ102" s="64"/>
      <c r="MCK102" s="64"/>
      <c r="MCL102" s="64"/>
      <c r="MCM102" s="64"/>
      <c r="MCN102" s="64"/>
      <c r="MCO102" s="64"/>
      <c r="MCP102" s="64"/>
      <c r="MCQ102" s="64"/>
      <c r="MCR102" s="64"/>
      <c r="MCS102" s="64"/>
      <c r="MCT102" s="64"/>
      <c r="MCU102" s="64"/>
      <c r="MCV102" s="64"/>
      <c r="MDC102" s="64"/>
      <c r="MDD102" s="64"/>
      <c r="MDE102" s="64"/>
      <c r="MDF102" s="64"/>
      <c r="MDG102" s="64"/>
      <c r="MDH102" s="64"/>
      <c r="MDI102" s="64"/>
      <c r="MDJ102" s="64"/>
      <c r="MDK102" s="64"/>
      <c r="MDL102" s="64"/>
      <c r="MDM102" s="64"/>
      <c r="MDN102" s="64"/>
      <c r="MDO102" s="64"/>
      <c r="MDP102" s="64"/>
      <c r="MDQ102" s="64"/>
      <c r="MDR102" s="64"/>
      <c r="MDS102" s="64"/>
      <c r="MDT102" s="64"/>
      <c r="MDU102" s="64"/>
      <c r="MDV102" s="64"/>
      <c r="MDW102" s="64"/>
      <c r="MDX102" s="64"/>
      <c r="MDY102" s="64"/>
      <c r="MDZ102" s="64"/>
      <c r="MEA102" s="64"/>
      <c r="MEB102" s="64"/>
      <c r="MEC102" s="64"/>
      <c r="MED102" s="64"/>
      <c r="MEE102" s="64"/>
      <c r="MEF102" s="64"/>
      <c r="MEG102" s="64"/>
      <c r="MEH102" s="64"/>
      <c r="MEI102" s="64"/>
      <c r="MEJ102" s="64"/>
      <c r="MEK102" s="64"/>
      <c r="MEL102" s="64"/>
      <c r="MEM102" s="64"/>
      <c r="MEN102" s="64"/>
      <c r="MEO102" s="64"/>
      <c r="MEP102" s="64"/>
      <c r="MEQ102" s="64"/>
      <c r="MER102" s="64"/>
      <c r="MES102" s="64"/>
      <c r="MET102" s="64"/>
      <c r="MEU102" s="64"/>
      <c r="MEV102" s="64"/>
      <c r="MEW102" s="64"/>
      <c r="MEX102" s="64"/>
      <c r="MEY102" s="64"/>
      <c r="MEZ102" s="64"/>
      <c r="MFA102" s="64"/>
      <c r="MFB102" s="64"/>
      <c r="MFC102" s="64"/>
      <c r="MFD102" s="64"/>
      <c r="MFE102" s="64"/>
      <c r="MFF102" s="64"/>
      <c r="MFG102" s="64"/>
      <c r="MFH102" s="64"/>
      <c r="MFI102" s="64"/>
      <c r="MFJ102" s="64"/>
      <c r="MFK102" s="64"/>
      <c r="MFL102" s="64"/>
      <c r="MFM102" s="64"/>
      <c r="MFN102" s="64"/>
      <c r="MFO102" s="64"/>
      <c r="MFP102" s="64"/>
      <c r="MFQ102" s="64"/>
      <c r="MFR102" s="64"/>
      <c r="MFS102" s="64"/>
      <c r="MFT102" s="64"/>
      <c r="MFU102" s="64"/>
      <c r="MFV102" s="64"/>
      <c r="MFW102" s="64"/>
      <c r="MFX102" s="64"/>
      <c r="MFY102" s="64"/>
      <c r="MFZ102" s="64"/>
      <c r="MGA102" s="64"/>
      <c r="MGB102" s="64"/>
      <c r="MGC102" s="64"/>
      <c r="MGD102" s="64"/>
      <c r="MGE102" s="64"/>
      <c r="MGF102" s="64"/>
      <c r="MGG102" s="64"/>
      <c r="MGH102" s="64"/>
      <c r="MGI102" s="64"/>
      <c r="MGJ102" s="64"/>
      <c r="MGK102" s="64"/>
      <c r="MGL102" s="64"/>
      <c r="MGM102" s="64"/>
      <c r="MGN102" s="64"/>
      <c r="MGO102" s="64"/>
      <c r="MGP102" s="64"/>
      <c r="MGQ102" s="64"/>
      <c r="MGR102" s="64"/>
      <c r="MGS102" s="64"/>
      <c r="MGT102" s="64"/>
      <c r="MGU102" s="64"/>
      <c r="MGV102" s="64"/>
      <c r="MGW102" s="64"/>
      <c r="MGX102" s="64"/>
      <c r="MGY102" s="64"/>
      <c r="MGZ102" s="64"/>
      <c r="MHA102" s="64"/>
      <c r="MHB102" s="64"/>
      <c r="MHC102" s="64"/>
      <c r="MHD102" s="64"/>
      <c r="MHE102" s="64"/>
      <c r="MHF102" s="64"/>
      <c r="MHG102" s="64"/>
      <c r="MHH102" s="64"/>
      <c r="MHI102" s="64"/>
      <c r="MHJ102" s="64"/>
      <c r="MHK102" s="64"/>
      <c r="MHL102" s="64"/>
      <c r="MHM102" s="64"/>
      <c r="MHN102" s="64"/>
      <c r="MHO102" s="64"/>
      <c r="MHP102" s="64"/>
      <c r="MHQ102" s="64"/>
      <c r="MHR102" s="64"/>
      <c r="MHS102" s="64"/>
      <c r="MHT102" s="64"/>
      <c r="MHU102" s="64"/>
      <c r="MHV102" s="64"/>
      <c r="MHW102" s="64"/>
      <c r="MHX102" s="64"/>
      <c r="MHY102" s="64"/>
      <c r="MHZ102" s="64"/>
      <c r="MIA102" s="64"/>
      <c r="MIB102" s="64"/>
      <c r="MIC102" s="64"/>
      <c r="MID102" s="64"/>
      <c r="MIE102" s="64"/>
      <c r="MIF102" s="64"/>
      <c r="MIG102" s="64"/>
      <c r="MIH102" s="64"/>
      <c r="MII102" s="64"/>
      <c r="MIJ102" s="64"/>
      <c r="MIK102" s="64"/>
      <c r="MIL102" s="64"/>
      <c r="MIM102" s="64"/>
      <c r="MIN102" s="64"/>
      <c r="MIO102" s="64"/>
      <c r="MIP102" s="64"/>
      <c r="MIQ102" s="64"/>
      <c r="MIR102" s="64"/>
      <c r="MIS102" s="64"/>
      <c r="MIT102" s="64"/>
      <c r="MIU102" s="64"/>
      <c r="MIV102" s="64"/>
      <c r="MIW102" s="64"/>
      <c r="MIX102" s="64"/>
      <c r="MIY102" s="64"/>
      <c r="MIZ102" s="64"/>
      <c r="MJA102" s="64"/>
      <c r="MJB102" s="64"/>
      <c r="MJC102" s="64"/>
      <c r="MJD102" s="64"/>
      <c r="MJE102" s="64"/>
      <c r="MJF102" s="64"/>
      <c r="MJG102" s="64"/>
      <c r="MJH102" s="64"/>
      <c r="MJI102" s="64"/>
      <c r="MJJ102" s="64"/>
      <c r="MJK102" s="64"/>
      <c r="MJL102" s="64"/>
      <c r="MJM102" s="64"/>
      <c r="MJN102" s="64"/>
      <c r="MJO102" s="64"/>
      <c r="MJP102" s="64"/>
      <c r="MJQ102" s="64"/>
      <c r="MJR102" s="64"/>
      <c r="MJS102" s="64"/>
      <c r="MJT102" s="64"/>
      <c r="MJU102" s="64"/>
      <c r="MJV102" s="64"/>
      <c r="MJW102" s="64"/>
      <c r="MJX102" s="64"/>
      <c r="MJY102" s="64"/>
      <c r="MJZ102" s="64"/>
      <c r="MKA102" s="64"/>
      <c r="MKB102" s="64"/>
      <c r="MKC102" s="64"/>
      <c r="MKD102" s="64"/>
      <c r="MKE102" s="64"/>
      <c r="MKF102" s="64"/>
      <c r="MKG102" s="64"/>
      <c r="MKH102" s="64"/>
      <c r="MKI102" s="64"/>
      <c r="MKJ102" s="64"/>
      <c r="MKK102" s="64"/>
      <c r="MKL102" s="64"/>
      <c r="MKM102" s="64"/>
      <c r="MKN102" s="64"/>
      <c r="MKO102" s="64"/>
      <c r="MKP102" s="64"/>
      <c r="MKQ102" s="64"/>
      <c r="MKR102" s="64"/>
      <c r="MKS102" s="64"/>
      <c r="MKT102" s="64"/>
      <c r="MKU102" s="64"/>
      <c r="MKV102" s="64"/>
      <c r="MKW102" s="64"/>
      <c r="MKX102" s="64"/>
      <c r="MKY102" s="64"/>
      <c r="MKZ102" s="64"/>
      <c r="MLA102" s="64"/>
      <c r="MLB102" s="64"/>
      <c r="MLC102" s="64"/>
      <c r="MLD102" s="64"/>
      <c r="MLE102" s="64"/>
      <c r="MLF102" s="64"/>
      <c r="MLG102" s="64"/>
      <c r="MLH102" s="64"/>
      <c r="MLI102" s="64"/>
      <c r="MLJ102" s="64"/>
      <c r="MLK102" s="64"/>
      <c r="MLL102" s="64"/>
      <c r="MLM102" s="64"/>
      <c r="MLN102" s="64"/>
      <c r="MLO102" s="64"/>
      <c r="MLP102" s="64"/>
      <c r="MLQ102" s="64"/>
      <c r="MLR102" s="64"/>
      <c r="MLS102" s="64"/>
      <c r="MLT102" s="64"/>
      <c r="MLU102" s="64"/>
      <c r="MLV102" s="64"/>
      <c r="MLW102" s="64"/>
      <c r="MLX102" s="64"/>
      <c r="MLY102" s="64"/>
      <c r="MLZ102" s="64"/>
      <c r="MMA102" s="64"/>
      <c r="MMB102" s="64"/>
      <c r="MMC102" s="64"/>
      <c r="MMD102" s="64"/>
      <c r="MME102" s="64"/>
      <c r="MMF102" s="64"/>
      <c r="MMG102" s="64"/>
      <c r="MMH102" s="64"/>
      <c r="MMI102" s="64"/>
      <c r="MMJ102" s="64"/>
      <c r="MMK102" s="64"/>
      <c r="MML102" s="64"/>
      <c r="MMM102" s="64"/>
      <c r="MMN102" s="64"/>
      <c r="MMO102" s="64"/>
      <c r="MMP102" s="64"/>
      <c r="MMQ102" s="64"/>
      <c r="MMR102" s="64"/>
      <c r="MMY102" s="64"/>
      <c r="MMZ102" s="64"/>
      <c r="MNA102" s="64"/>
      <c r="MNB102" s="64"/>
      <c r="MNC102" s="64"/>
      <c r="MND102" s="64"/>
      <c r="MNE102" s="64"/>
      <c r="MNF102" s="64"/>
      <c r="MNG102" s="64"/>
      <c r="MNH102" s="64"/>
      <c r="MNI102" s="64"/>
      <c r="MNJ102" s="64"/>
      <c r="MNK102" s="64"/>
      <c r="MNL102" s="64"/>
      <c r="MNM102" s="64"/>
      <c r="MNN102" s="64"/>
      <c r="MNO102" s="64"/>
      <c r="MNP102" s="64"/>
      <c r="MNQ102" s="64"/>
      <c r="MNR102" s="64"/>
      <c r="MNS102" s="64"/>
      <c r="MNT102" s="64"/>
      <c r="MNU102" s="64"/>
      <c r="MNV102" s="64"/>
      <c r="MNW102" s="64"/>
      <c r="MNX102" s="64"/>
      <c r="MNY102" s="64"/>
      <c r="MNZ102" s="64"/>
      <c r="MOA102" s="64"/>
      <c r="MOB102" s="64"/>
      <c r="MOC102" s="64"/>
      <c r="MOD102" s="64"/>
      <c r="MOE102" s="64"/>
      <c r="MOF102" s="64"/>
      <c r="MOG102" s="64"/>
      <c r="MOH102" s="64"/>
      <c r="MOI102" s="64"/>
      <c r="MOJ102" s="64"/>
      <c r="MOK102" s="64"/>
      <c r="MOL102" s="64"/>
      <c r="MOM102" s="64"/>
      <c r="MON102" s="64"/>
      <c r="MOO102" s="64"/>
      <c r="MOP102" s="64"/>
      <c r="MOQ102" s="64"/>
      <c r="MOR102" s="64"/>
      <c r="MOS102" s="64"/>
      <c r="MOT102" s="64"/>
      <c r="MOU102" s="64"/>
      <c r="MOV102" s="64"/>
      <c r="MOW102" s="64"/>
      <c r="MOX102" s="64"/>
      <c r="MOY102" s="64"/>
      <c r="MOZ102" s="64"/>
      <c r="MPA102" s="64"/>
      <c r="MPB102" s="64"/>
      <c r="MPC102" s="64"/>
      <c r="MPD102" s="64"/>
      <c r="MPE102" s="64"/>
      <c r="MPF102" s="64"/>
      <c r="MPG102" s="64"/>
      <c r="MPH102" s="64"/>
      <c r="MPI102" s="64"/>
      <c r="MPJ102" s="64"/>
      <c r="MPK102" s="64"/>
      <c r="MPL102" s="64"/>
      <c r="MPM102" s="64"/>
      <c r="MPN102" s="64"/>
      <c r="MPO102" s="64"/>
      <c r="MPP102" s="64"/>
      <c r="MPQ102" s="64"/>
      <c r="MPR102" s="64"/>
      <c r="MPS102" s="64"/>
      <c r="MPT102" s="64"/>
      <c r="MPU102" s="64"/>
      <c r="MPV102" s="64"/>
      <c r="MPW102" s="64"/>
      <c r="MPX102" s="64"/>
      <c r="MPY102" s="64"/>
      <c r="MPZ102" s="64"/>
      <c r="MQA102" s="64"/>
      <c r="MQB102" s="64"/>
      <c r="MQC102" s="64"/>
      <c r="MQD102" s="64"/>
      <c r="MQE102" s="64"/>
      <c r="MQF102" s="64"/>
      <c r="MQG102" s="64"/>
      <c r="MQH102" s="64"/>
      <c r="MQI102" s="64"/>
      <c r="MQJ102" s="64"/>
      <c r="MQK102" s="64"/>
      <c r="MQL102" s="64"/>
      <c r="MQM102" s="64"/>
      <c r="MQN102" s="64"/>
      <c r="MQO102" s="64"/>
      <c r="MQP102" s="64"/>
      <c r="MQQ102" s="64"/>
      <c r="MQR102" s="64"/>
      <c r="MQS102" s="64"/>
      <c r="MQT102" s="64"/>
      <c r="MQU102" s="64"/>
      <c r="MQV102" s="64"/>
      <c r="MQW102" s="64"/>
      <c r="MQX102" s="64"/>
      <c r="MQY102" s="64"/>
      <c r="MQZ102" s="64"/>
      <c r="MRA102" s="64"/>
      <c r="MRB102" s="64"/>
      <c r="MRC102" s="64"/>
      <c r="MRD102" s="64"/>
      <c r="MRE102" s="64"/>
      <c r="MRF102" s="64"/>
      <c r="MRG102" s="64"/>
      <c r="MRH102" s="64"/>
      <c r="MRI102" s="64"/>
      <c r="MRJ102" s="64"/>
      <c r="MRK102" s="64"/>
      <c r="MRL102" s="64"/>
      <c r="MRM102" s="64"/>
      <c r="MRN102" s="64"/>
      <c r="MRO102" s="64"/>
      <c r="MRP102" s="64"/>
      <c r="MRQ102" s="64"/>
      <c r="MRR102" s="64"/>
      <c r="MRS102" s="64"/>
      <c r="MRT102" s="64"/>
      <c r="MRU102" s="64"/>
      <c r="MRV102" s="64"/>
      <c r="MRW102" s="64"/>
      <c r="MRX102" s="64"/>
      <c r="MRY102" s="64"/>
      <c r="MRZ102" s="64"/>
      <c r="MSA102" s="64"/>
      <c r="MSB102" s="64"/>
      <c r="MSC102" s="64"/>
      <c r="MSD102" s="64"/>
      <c r="MSE102" s="64"/>
      <c r="MSF102" s="64"/>
      <c r="MSG102" s="64"/>
      <c r="MSH102" s="64"/>
      <c r="MSI102" s="64"/>
      <c r="MSJ102" s="64"/>
      <c r="MSK102" s="64"/>
      <c r="MSL102" s="64"/>
      <c r="MSM102" s="64"/>
      <c r="MSN102" s="64"/>
      <c r="MSO102" s="64"/>
      <c r="MSP102" s="64"/>
      <c r="MSQ102" s="64"/>
      <c r="MSR102" s="64"/>
      <c r="MSS102" s="64"/>
      <c r="MST102" s="64"/>
      <c r="MSU102" s="64"/>
      <c r="MSV102" s="64"/>
      <c r="MSW102" s="64"/>
      <c r="MSX102" s="64"/>
      <c r="MSY102" s="64"/>
      <c r="MSZ102" s="64"/>
      <c r="MTA102" s="64"/>
      <c r="MTB102" s="64"/>
      <c r="MTC102" s="64"/>
      <c r="MTD102" s="64"/>
      <c r="MTE102" s="64"/>
      <c r="MTF102" s="64"/>
      <c r="MTG102" s="64"/>
      <c r="MTH102" s="64"/>
      <c r="MTI102" s="64"/>
      <c r="MTJ102" s="64"/>
      <c r="MTK102" s="64"/>
      <c r="MTL102" s="64"/>
      <c r="MTM102" s="64"/>
      <c r="MTN102" s="64"/>
      <c r="MTO102" s="64"/>
      <c r="MTP102" s="64"/>
      <c r="MTQ102" s="64"/>
      <c r="MTR102" s="64"/>
      <c r="MTS102" s="64"/>
      <c r="MTT102" s="64"/>
      <c r="MTU102" s="64"/>
      <c r="MTV102" s="64"/>
      <c r="MTW102" s="64"/>
      <c r="MTX102" s="64"/>
      <c r="MTY102" s="64"/>
      <c r="MTZ102" s="64"/>
      <c r="MUA102" s="64"/>
      <c r="MUB102" s="64"/>
      <c r="MUC102" s="64"/>
      <c r="MUD102" s="64"/>
      <c r="MUE102" s="64"/>
      <c r="MUF102" s="64"/>
      <c r="MUG102" s="64"/>
      <c r="MUH102" s="64"/>
      <c r="MUI102" s="64"/>
      <c r="MUJ102" s="64"/>
      <c r="MUK102" s="64"/>
      <c r="MUL102" s="64"/>
      <c r="MUM102" s="64"/>
      <c r="MUN102" s="64"/>
      <c r="MUO102" s="64"/>
      <c r="MUP102" s="64"/>
      <c r="MUQ102" s="64"/>
      <c r="MUR102" s="64"/>
      <c r="MUS102" s="64"/>
      <c r="MUT102" s="64"/>
      <c r="MUU102" s="64"/>
      <c r="MUV102" s="64"/>
      <c r="MUW102" s="64"/>
      <c r="MUX102" s="64"/>
      <c r="MUY102" s="64"/>
      <c r="MUZ102" s="64"/>
      <c r="MVA102" s="64"/>
      <c r="MVB102" s="64"/>
      <c r="MVC102" s="64"/>
      <c r="MVD102" s="64"/>
      <c r="MVE102" s="64"/>
      <c r="MVF102" s="64"/>
      <c r="MVG102" s="64"/>
      <c r="MVH102" s="64"/>
      <c r="MVI102" s="64"/>
      <c r="MVJ102" s="64"/>
      <c r="MVK102" s="64"/>
      <c r="MVL102" s="64"/>
      <c r="MVM102" s="64"/>
      <c r="MVN102" s="64"/>
      <c r="MVO102" s="64"/>
      <c r="MVP102" s="64"/>
      <c r="MVQ102" s="64"/>
      <c r="MVR102" s="64"/>
      <c r="MVS102" s="64"/>
      <c r="MVT102" s="64"/>
      <c r="MVU102" s="64"/>
      <c r="MVV102" s="64"/>
      <c r="MVW102" s="64"/>
      <c r="MVX102" s="64"/>
      <c r="MVY102" s="64"/>
      <c r="MVZ102" s="64"/>
      <c r="MWA102" s="64"/>
      <c r="MWB102" s="64"/>
      <c r="MWC102" s="64"/>
      <c r="MWD102" s="64"/>
      <c r="MWE102" s="64"/>
      <c r="MWF102" s="64"/>
      <c r="MWG102" s="64"/>
      <c r="MWH102" s="64"/>
      <c r="MWI102" s="64"/>
      <c r="MWJ102" s="64"/>
      <c r="MWK102" s="64"/>
      <c r="MWL102" s="64"/>
      <c r="MWM102" s="64"/>
      <c r="MWN102" s="64"/>
      <c r="MWU102" s="64"/>
      <c r="MWV102" s="64"/>
      <c r="MWW102" s="64"/>
      <c r="MWX102" s="64"/>
      <c r="MWY102" s="64"/>
      <c r="MWZ102" s="64"/>
      <c r="MXA102" s="64"/>
      <c r="MXB102" s="64"/>
      <c r="MXC102" s="64"/>
      <c r="MXD102" s="64"/>
      <c r="MXE102" s="64"/>
      <c r="MXF102" s="64"/>
      <c r="MXG102" s="64"/>
      <c r="MXH102" s="64"/>
      <c r="MXI102" s="64"/>
      <c r="MXJ102" s="64"/>
      <c r="MXK102" s="64"/>
      <c r="MXL102" s="64"/>
      <c r="MXM102" s="64"/>
      <c r="MXN102" s="64"/>
      <c r="MXO102" s="64"/>
      <c r="MXP102" s="64"/>
      <c r="MXQ102" s="64"/>
      <c r="MXR102" s="64"/>
      <c r="MXS102" s="64"/>
      <c r="MXT102" s="64"/>
      <c r="MXU102" s="64"/>
      <c r="MXV102" s="64"/>
      <c r="MXW102" s="64"/>
      <c r="MXX102" s="64"/>
      <c r="MXY102" s="64"/>
      <c r="MXZ102" s="64"/>
      <c r="MYA102" s="64"/>
      <c r="MYB102" s="64"/>
      <c r="MYC102" s="64"/>
      <c r="MYD102" s="64"/>
      <c r="MYE102" s="64"/>
      <c r="MYF102" s="64"/>
      <c r="MYG102" s="64"/>
      <c r="MYH102" s="64"/>
      <c r="MYI102" s="64"/>
      <c r="MYJ102" s="64"/>
      <c r="MYK102" s="64"/>
      <c r="MYL102" s="64"/>
      <c r="MYM102" s="64"/>
      <c r="MYN102" s="64"/>
      <c r="MYO102" s="64"/>
      <c r="MYP102" s="64"/>
      <c r="MYQ102" s="64"/>
      <c r="MYR102" s="64"/>
      <c r="MYS102" s="64"/>
      <c r="MYT102" s="64"/>
      <c r="MYU102" s="64"/>
      <c r="MYV102" s="64"/>
      <c r="MYW102" s="64"/>
      <c r="MYX102" s="64"/>
      <c r="MYY102" s="64"/>
      <c r="MYZ102" s="64"/>
      <c r="MZA102" s="64"/>
      <c r="MZB102" s="64"/>
      <c r="MZC102" s="64"/>
      <c r="MZD102" s="64"/>
      <c r="MZE102" s="64"/>
      <c r="MZF102" s="64"/>
      <c r="MZG102" s="64"/>
      <c r="MZH102" s="64"/>
      <c r="MZI102" s="64"/>
      <c r="MZJ102" s="64"/>
      <c r="MZK102" s="64"/>
      <c r="MZL102" s="64"/>
      <c r="MZM102" s="64"/>
      <c r="MZN102" s="64"/>
      <c r="MZO102" s="64"/>
      <c r="MZP102" s="64"/>
      <c r="MZQ102" s="64"/>
      <c r="MZR102" s="64"/>
      <c r="MZS102" s="64"/>
      <c r="MZT102" s="64"/>
      <c r="MZU102" s="64"/>
      <c r="MZV102" s="64"/>
      <c r="MZW102" s="64"/>
      <c r="MZX102" s="64"/>
      <c r="MZY102" s="64"/>
      <c r="MZZ102" s="64"/>
      <c r="NAA102" s="64"/>
      <c r="NAB102" s="64"/>
      <c r="NAC102" s="64"/>
      <c r="NAD102" s="64"/>
      <c r="NAE102" s="64"/>
      <c r="NAF102" s="64"/>
      <c r="NAG102" s="64"/>
      <c r="NAH102" s="64"/>
      <c r="NAI102" s="64"/>
      <c r="NAJ102" s="64"/>
      <c r="NAK102" s="64"/>
      <c r="NAL102" s="64"/>
      <c r="NAM102" s="64"/>
      <c r="NAN102" s="64"/>
      <c r="NAO102" s="64"/>
      <c r="NAP102" s="64"/>
      <c r="NAQ102" s="64"/>
      <c r="NAR102" s="64"/>
      <c r="NAS102" s="64"/>
      <c r="NAT102" s="64"/>
      <c r="NAU102" s="64"/>
      <c r="NAV102" s="64"/>
      <c r="NAW102" s="64"/>
      <c r="NAX102" s="64"/>
      <c r="NAY102" s="64"/>
      <c r="NAZ102" s="64"/>
      <c r="NBA102" s="64"/>
      <c r="NBB102" s="64"/>
      <c r="NBC102" s="64"/>
      <c r="NBD102" s="64"/>
      <c r="NBE102" s="64"/>
      <c r="NBF102" s="64"/>
      <c r="NBG102" s="64"/>
      <c r="NBH102" s="64"/>
      <c r="NBI102" s="64"/>
      <c r="NBJ102" s="64"/>
      <c r="NBK102" s="64"/>
      <c r="NBL102" s="64"/>
      <c r="NBM102" s="64"/>
      <c r="NBN102" s="64"/>
      <c r="NBO102" s="64"/>
      <c r="NBP102" s="64"/>
      <c r="NBQ102" s="64"/>
      <c r="NBR102" s="64"/>
      <c r="NBS102" s="64"/>
      <c r="NBT102" s="64"/>
      <c r="NBU102" s="64"/>
      <c r="NBV102" s="64"/>
      <c r="NBW102" s="64"/>
      <c r="NBX102" s="64"/>
      <c r="NBY102" s="64"/>
      <c r="NBZ102" s="64"/>
      <c r="NCA102" s="64"/>
      <c r="NCB102" s="64"/>
      <c r="NCC102" s="64"/>
      <c r="NCD102" s="64"/>
      <c r="NCE102" s="64"/>
      <c r="NCF102" s="64"/>
      <c r="NCG102" s="64"/>
      <c r="NCH102" s="64"/>
      <c r="NCI102" s="64"/>
      <c r="NCJ102" s="64"/>
      <c r="NCK102" s="64"/>
      <c r="NCL102" s="64"/>
      <c r="NCM102" s="64"/>
      <c r="NCN102" s="64"/>
      <c r="NCO102" s="64"/>
      <c r="NCP102" s="64"/>
      <c r="NCQ102" s="64"/>
      <c r="NCR102" s="64"/>
      <c r="NCS102" s="64"/>
      <c r="NCT102" s="64"/>
      <c r="NCU102" s="64"/>
      <c r="NCV102" s="64"/>
      <c r="NCW102" s="64"/>
      <c r="NCX102" s="64"/>
      <c r="NCY102" s="64"/>
      <c r="NCZ102" s="64"/>
      <c r="NDA102" s="64"/>
      <c r="NDB102" s="64"/>
      <c r="NDC102" s="64"/>
      <c r="NDD102" s="64"/>
      <c r="NDE102" s="64"/>
      <c r="NDF102" s="64"/>
      <c r="NDG102" s="64"/>
      <c r="NDH102" s="64"/>
      <c r="NDI102" s="64"/>
      <c r="NDJ102" s="64"/>
      <c r="NDK102" s="64"/>
      <c r="NDL102" s="64"/>
      <c r="NDM102" s="64"/>
      <c r="NDN102" s="64"/>
      <c r="NDO102" s="64"/>
      <c r="NDP102" s="64"/>
      <c r="NDQ102" s="64"/>
      <c r="NDR102" s="64"/>
      <c r="NDS102" s="64"/>
      <c r="NDT102" s="64"/>
      <c r="NDU102" s="64"/>
      <c r="NDV102" s="64"/>
      <c r="NDW102" s="64"/>
      <c r="NDX102" s="64"/>
      <c r="NDY102" s="64"/>
      <c r="NDZ102" s="64"/>
      <c r="NEA102" s="64"/>
      <c r="NEB102" s="64"/>
      <c r="NEC102" s="64"/>
      <c r="NED102" s="64"/>
      <c r="NEE102" s="64"/>
      <c r="NEF102" s="64"/>
      <c r="NEG102" s="64"/>
      <c r="NEH102" s="64"/>
      <c r="NEI102" s="64"/>
      <c r="NEJ102" s="64"/>
      <c r="NEK102" s="64"/>
      <c r="NEL102" s="64"/>
      <c r="NEM102" s="64"/>
      <c r="NEN102" s="64"/>
      <c r="NEO102" s="64"/>
      <c r="NEP102" s="64"/>
      <c r="NEQ102" s="64"/>
      <c r="NER102" s="64"/>
      <c r="NES102" s="64"/>
      <c r="NET102" s="64"/>
      <c r="NEU102" s="64"/>
      <c r="NEV102" s="64"/>
      <c r="NEW102" s="64"/>
      <c r="NEX102" s="64"/>
      <c r="NEY102" s="64"/>
      <c r="NEZ102" s="64"/>
      <c r="NFA102" s="64"/>
      <c r="NFB102" s="64"/>
      <c r="NFC102" s="64"/>
      <c r="NFD102" s="64"/>
      <c r="NFE102" s="64"/>
      <c r="NFF102" s="64"/>
      <c r="NFG102" s="64"/>
      <c r="NFH102" s="64"/>
      <c r="NFI102" s="64"/>
      <c r="NFJ102" s="64"/>
      <c r="NFK102" s="64"/>
      <c r="NFL102" s="64"/>
      <c r="NFM102" s="64"/>
      <c r="NFN102" s="64"/>
      <c r="NFO102" s="64"/>
      <c r="NFP102" s="64"/>
      <c r="NFQ102" s="64"/>
      <c r="NFR102" s="64"/>
      <c r="NFS102" s="64"/>
      <c r="NFT102" s="64"/>
      <c r="NFU102" s="64"/>
      <c r="NFV102" s="64"/>
      <c r="NFW102" s="64"/>
      <c r="NFX102" s="64"/>
      <c r="NFY102" s="64"/>
      <c r="NFZ102" s="64"/>
      <c r="NGA102" s="64"/>
      <c r="NGB102" s="64"/>
      <c r="NGC102" s="64"/>
      <c r="NGD102" s="64"/>
      <c r="NGE102" s="64"/>
      <c r="NGF102" s="64"/>
      <c r="NGG102" s="64"/>
      <c r="NGH102" s="64"/>
      <c r="NGI102" s="64"/>
      <c r="NGJ102" s="64"/>
      <c r="NGQ102" s="64"/>
      <c r="NGR102" s="64"/>
      <c r="NGS102" s="64"/>
      <c r="NGT102" s="64"/>
      <c r="NGU102" s="64"/>
      <c r="NGV102" s="64"/>
      <c r="NGW102" s="64"/>
      <c r="NGX102" s="64"/>
      <c r="NGY102" s="64"/>
      <c r="NGZ102" s="64"/>
      <c r="NHA102" s="64"/>
      <c r="NHB102" s="64"/>
      <c r="NHC102" s="64"/>
      <c r="NHD102" s="64"/>
      <c r="NHE102" s="64"/>
      <c r="NHF102" s="64"/>
      <c r="NHG102" s="64"/>
      <c r="NHH102" s="64"/>
      <c r="NHI102" s="64"/>
      <c r="NHJ102" s="64"/>
      <c r="NHK102" s="64"/>
      <c r="NHL102" s="64"/>
      <c r="NHM102" s="64"/>
      <c r="NHN102" s="64"/>
      <c r="NHO102" s="64"/>
      <c r="NHP102" s="64"/>
      <c r="NHQ102" s="64"/>
      <c r="NHR102" s="64"/>
      <c r="NHS102" s="64"/>
      <c r="NHT102" s="64"/>
      <c r="NHU102" s="64"/>
      <c r="NHV102" s="64"/>
      <c r="NHW102" s="64"/>
      <c r="NHX102" s="64"/>
      <c r="NHY102" s="64"/>
      <c r="NHZ102" s="64"/>
      <c r="NIA102" s="64"/>
      <c r="NIB102" s="64"/>
      <c r="NIC102" s="64"/>
      <c r="NID102" s="64"/>
      <c r="NIE102" s="64"/>
      <c r="NIF102" s="64"/>
      <c r="NIG102" s="64"/>
      <c r="NIH102" s="64"/>
      <c r="NII102" s="64"/>
      <c r="NIJ102" s="64"/>
      <c r="NIK102" s="64"/>
      <c r="NIL102" s="64"/>
      <c r="NIM102" s="64"/>
      <c r="NIN102" s="64"/>
      <c r="NIO102" s="64"/>
      <c r="NIP102" s="64"/>
      <c r="NIQ102" s="64"/>
      <c r="NIR102" s="64"/>
      <c r="NIS102" s="64"/>
      <c r="NIT102" s="64"/>
      <c r="NIU102" s="64"/>
      <c r="NIV102" s="64"/>
      <c r="NIW102" s="64"/>
      <c r="NIX102" s="64"/>
      <c r="NIY102" s="64"/>
      <c r="NIZ102" s="64"/>
      <c r="NJA102" s="64"/>
      <c r="NJB102" s="64"/>
      <c r="NJC102" s="64"/>
      <c r="NJD102" s="64"/>
      <c r="NJE102" s="64"/>
      <c r="NJF102" s="64"/>
      <c r="NJG102" s="64"/>
      <c r="NJH102" s="64"/>
      <c r="NJI102" s="64"/>
      <c r="NJJ102" s="64"/>
      <c r="NJK102" s="64"/>
      <c r="NJL102" s="64"/>
      <c r="NJM102" s="64"/>
      <c r="NJN102" s="64"/>
      <c r="NJO102" s="64"/>
      <c r="NJP102" s="64"/>
      <c r="NJQ102" s="64"/>
      <c r="NJR102" s="64"/>
      <c r="NJS102" s="64"/>
      <c r="NJT102" s="64"/>
      <c r="NJU102" s="64"/>
      <c r="NJV102" s="64"/>
      <c r="NJW102" s="64"/>
      <c r="NJX102" s="64"/>
      <c r="NJY102" s="64"/>
      <c r="NJZ102" s="64"/>
      <c r="NKA102" s="64"/>
      <c r="NKB102" s="64"/>
      <c r="NKC102" s="64"/>
      <c r="NKD102" s="64"/>
      <c r="NKE102" s="64"/>
      <c r="NKF102" s="64"/>
      <c r="NKG102" s="64"/>
      <c r="NKH102" s="64"/>
      <c r="NKI102" s="64"/>
      <c r="NKJ102" s="64"/>
      <c r="NKK102" s="64"/>
      <c r="NKL102" s="64"/>
      <c r="NKM102" s="64"/>
      <c r="NKN102" s="64"/>
      <c r="NKO102" s="64"/>
      <c r="NKP102" s="64"/>
      <c r="NKQ102" s="64"/>
      <c r="NKR102" s="64"/>
      <c r="NKS102" s="64"/>
      <c r="NKT102" s="64"/>
      <c r="NKU102" s="64"/>
      <c r="NKV102" s="64"/>
      <c r="NKW102" s="64"/>
      <c r="NKX102" s="64"/>
      <c r="NKY102" s="64"/>
      <c r="NKZ102" s="64"/>
      <c r="NLA102" s="64"/>
      <c r="NLB102" s="64"/>
      <c r="NLC102" s="64"/>
      <c r="NLD102" s="64"/>
      <c r="NLE102" s="64"/>
      <c r="NLF102" s="64"/>
      <c r="NLG102" s="64"/>
      <c r="NLH102" s="64"/>
      <c r="NLI102" s="64"/>
      <c r="NLJ102" s="64"/>
      <c r="NLK102" s="64"/>
      <c r="NLL102" s="64"/>
      <c r="NLM102" s="64"/>
      <c r="NLN102" s="64"/>
      <c r="NLO102" s="64"/>
      <c r="NLP102" s="64"/>
      <c r="NLQ102" s="64"/>
      <c r="NLR102" s="64"/>
      <c r="NLS102" s="64"/>
      <c r="NLT102" s="64"/>
      <c r="NLU102" s="64"/>
      <c r="NLV102" s="64"/>
      <c r="NLW102" s="64"/>
      <c r="NLX102" s="64"/>
      <c r="NLY102" s="64"/>
      <c r="NLZ102" s="64"/>
      <c r="NMA102" s="64"/>
      <c r="NMB102" s="64"/>
      <c r="NMC102" s="64"/>
      <c r="NMD102" s="64"/>
      <c r="NME102" s="64"/>
      <c r="NMF102" s="64"/>
      <c r="NMG102" s="64"/>
      <c r="NMH102" s="64"/>
      <c r="NMI102" s="64"/>
      <c r="NMJ102" s="64"/>
      <c r="NMK102" s="64"/>
      <c r="NML102" s="64"/>
      <c r="NMM102" s="64"/>
      <c r="NMN102" s="64"/>
      <c r="NMO102" s="64"/>
      <c r="NMP102" s="64"/>
      <c r="NMQ102" s="64"/>
      <c r="NMR102" s="64"/>
      <c r="NMS102" s="64"/>
      <c r="NMT102" s="64"/>
      <c r="NMU102" s="64"/>
      <c r="NMV102" s="64"/>
      <c r="NMW102" s="64"/>
      <c r="NMX102" s="64"/>
      <c r="NMY102" s="64"/>
      <c r="NMZ102" s="64"/>
      <c r="NNA102" s="64"/>
      <c r="NNB102" s="64"/>
      <c r="NNC102" s="64"/>
      <c r="NND102" s="64"/>
      <c r="NNE102" s="64"/>
      <c r="NNF102" s="64"/>
      <c r="NNG102" s="64"/>
      <c r="NNH102" s="64"/>
      <c r="NNI102" s="64"/>
      <c r="NNJ102" s="64"/>
      <c r="NNK102" s="64"/>
      <c r="NNL102" s="64"/>
      <c r="NNM102" s="64"/>
      <c r="NNN102" s="64"/>
      <c r="NNO102" s="64"/>
      <c r="NNP102" s="64"/>
      <c r="NNQ102" s="64"/>
      <c r="NNR102" s="64"/>
      <c r="NNS102" s="64"/>
      <c r="NNT102" s="64"/>
      <c r="NNU102" s="64"/>
      <c r="NNV102" s="64"/>
      <c r="NNW102" s="64"/>
      <c r="NNX102" s="64"/>
      <c r="NNY102" s="64"/>
      <c r="NNZ102" s="64"/>
      <c r="NOA102" s="64"/>
      <c r="NOB102" s="64"/>
      <c r="NOC102" s="64"/>
      <c r="NOD102" s="64"/>
      <c r="NOE102" s="64"/>
      <c r="NOF102" s="64"/>
      <c r="NOG102" s="64"/>
      <c r="NOH102" s="64"/>
      <c r="NOI102" s="64"/>
      <c r="NOJ102" s="64"/>
      <c r="NOK102" s="64"/>
      <c r="NOL102" s="64"/>
      <c r="NOM102" s="64"/>
      <c r="NON102" s="64"/>
      <c r="NOO102" s="64"/>
      <c r="NOP102" s="64"/>
      <c r="NOQ102" s="64"/>
      <c r="NOR102" s="64"/>
      <c r="NOS102" s="64"/>
      <c r="NOT102" s="64"/>
      <c r="NOU102" s="64"/>
      <c r="NOV102" s="64"/>
      <c r="NOW102" s="64"/>
      <c r="NOX102" s="64"/>
      <c r="NOY102" s="64"/>
      <c r="NOZ102" s="64"/>
      <c r="NPA102" s="64"/>
      <c r="NPB102" s="64"/>
      <c r="NPC102" s="64"/>
      <c r="NPD102" s="64"/>
      <c r="NPE102" s="64"/>
      <c r="NPF102" s="64"/>
      <c r="NPG102" s="64"/>
      <c r="NPH102" s="64"/>
      <c r="NPI102" s="64"/>
      <c r="NPJ102" s="64"/>
      <c r="NPK102" s="64"/>
      <c r="NPL102" s="64"/>
      <c r="NPM102" s="64"/>
      <c r="NPN102" s="64"/>
      <c r="NPO102" s="64"/>
      <c r="NPP102" s="64"/>
      <c r="NPQ102" s="64"/>
      <c r="NPR102" s="64"/>
      <c r="NPS102" s="64"/>
      <c r="NPT102" s="64"/>
      <c r="NPU102" s="64"/>
      <c r="NPV102" s="64"/>
      <c r="NPW102" s="64"/>
      <c r="NPX102" s="64"/>
      <c r="NPY102" s="64"/>
      <c r="NPZ102" s="64"/>
      <c r="NQA102" s="64"/>
      <c r="NQB102" s="64"/>
      <c r="NQC102" s="64"/>
      <c r="NQD102" s="64"/>
      <c r="NQE102" s="64"/>
      <c r="NQF102" s="64"/>
      <c r="NQM102" s="64"/>
      <c r="NQN102" s="64"/>
      <c r="NQO102" s="64"/>
      <c r="NQP102" s="64"/>
      <c r="NQQ102" s="64"/>
      <c r="NQR102" s="64"/>
      <c r="NQS102" s="64"/>
      <c r="NQT102" s="64"/>
      <c r="NQU102" s="64"/>
      <c r="NQV102" s="64"/>
      <c r="NQW102" s="64"/>
      <c r="NQX102" s="64"/>
      <c r="NQY102" s="64"/>
      <c r="NQZ102" s="64"/>
      <c r="NRA102" s="64"/>
      <c r="NRB102" s="64"/>
      <c r="NRC102" s="64"/>
      <c r="NRD102" s="64"/>
      <c r="NRE102" s="64"/>
      <c r="NRF102" s="64"/>
      <c r="NRG102" s="64"/>
      <c r="NRH102" s="64"/>
      <c r="NRI102" s="64"/>
      <c r="NRJ102" s="64"/>
      <c r="NRK102" s="64"/>
      <c r="NRL102" s="64"/>
      <c r="NRM102" s="64"/>
      <c r="NRN102" s="64"/>
      <c r="NRO102" s="64"/>
      <c r="NRP102" s="64"/>
      <c r="NRQ102" s="64"/>
      <c r="NRR102" s="64"/>
      <c r="NRS102" s="64"/>
      <c r="NRT102" s="64"/>
      <c r="NRU102" s="64"/>
      <c r="NRV102" s="64"/>
      <c r="NRW102" s="64"/>
      <c r="NRX102" s="64"/>
      <c r="NRY102" s="64"/>
      <c r="NRZ102" s="64"/>
      <c r="NSA102" s="64"/>
      <c r="NSB102" s="64"/>
      <c r="NSC102" s="64"/>
      <c r="NSD102" s="64"/>
      <c r="NSE102" s="64"/>
      <c r="NSF102" s="64"/>
      <c r="NSG102" s="64"/>
      <c r="NSH102" s="64"/>
      <c r="NSI102" s="64"/>
      <c r="NSJ102" s="64"/>
      <c r="NSK102" s="64"/>
      <c r="NSL102" s="64"/>
      <c r="NSM102" s="64"/>
      <c r="NSN102" s="64"/>
      <c r="NSO102" s="64"/>
      <c r="NSP102" s="64"/>
      <c r="NSQ102" s="64"/>
      <c r="NSR102" s="64"/>
      <c r="NSS102" s="64"/>
      <c r="NST102" s="64"/>
      <c r="NSU102" s="64"/>
      <c r="NSV102" s="64"/>
      <c r="NSW102" s="64"/>
      <c r="NSX102" s="64"/>
      <c r="NSY102" s="64"/>
      <c r="NSZ102" s="64"/>
      <c r="NTA102" s="64"/>
      <c r="NTB102" s="64"/>
      <c r="NTC102" s="64"/>
      <c r="NTD102" s="64"/>
      <c r="NTE102" s="64"/>
      <c r="NTF102" s="64"/>
      <c r="NTG102" s="64"/>
      <c r="NTH102" s="64"/>
      <c r="NTI102" s="64"/>
      <c r="NTJ102" s="64"/>
      <c r="NTK102" s="64"/>
      <c r="NTL102" s="64"/>
      <c r="NTM102" s="64"/>
      <c r="NTN102" s="64"/>
      <c r="NTO102" s="64"/>
      <c r="NTP102" s="64"/>
      <c r="NTQ102" s="64"/>
      <c r="NTR102" s="64"/>
      <c r="NTS102" s="64"/>
      <c r="NTT102" s="64"/>
      <c r="NTU102" s="64"/>
      <c r="NTV102" s="64"/>
      <c r="NTW102" s="64"/>
      <c r="NTX102" s="64"/>
      <c r="NTY102" s="64"/>
      <c r="NTZ102" s="64"/>
      <c r="NUA102" s="64"/>
      <c r="NUB102" s="64"/>
      <c r="NUC102" s="64"/>
      <c r="NUD102" s="64"/>
      <c r="NUE102" s="64"/>
      <c r="NUF102" s="64"/>
      <c r="NUG102" s="64"/>
      <c r="NUH102" s="64"/>
      <c r="NUI102" s="64"/>
      <c r="NUJ102" s="64"/>
      <c r="NUK102" s="64"/>
      <c r="NUL102" s="64"/>
      <c r="NUM102" s="64"/>
      <c r="NUN102" s="64"/>
      <c r="NUO102" s="64"/>
      <c r="NUP102" s="64"/>
      <c r="NUQ102" s="64"/>
      <c r="NUR102" s="64"/>
      <c r="NUS102" s="64"/>
      <c r="NUT102" s="64"/>
      <c r="NUU102" s="64"/>
      <c r="NUV102" s="64"/>
      <c r="NUW102" s="64"/>
      <c r="NUX102" s="64"/>
      <c r="NUY102" s="64"/>
      <c r="NUZ102" s="64"/>
      <c r="NVA102" s="64"/>
      <c r="NVB102" s="64"/>
      <c r="NVC102" s="64"/>
      <c r="NVD102" s="64"/>
      <c r="NVE102" s="64"/>
      <c r="NVF102" s="64"/>
      <c r="NVG102" s="64"/>
      <c r="NVH102" s="64"/>
      <c r="NVI102" s="64"/>
      <c r="NVJ102" s="64"/>
      <c r="NVK102" s="64"/>
      <c r="NVL102" s="64"/>
      <c r="NVM102" s="64"/>
      <c r="NVN102" s="64"/>
      <c r="NVO102" s="64"/>
      <c r="NVP102" s="64"/>
      <c r="NVQ102" s="64"/>
      <c r="NVR102" s="64"/>
      <c r="NVS102" s="64"/>
      <c r="NVT102" s="64"/>
      <c r="NVU102" s="64"/>
      <c r="NVV102" s="64"/>
      <c r="NVW102" s="64"/>
      <c r="NVX102" s="64"/>
      <c r="NVY102" s="64"/>
      <c r="NVZ102" s="64"/>
      <c r="NWA102" s="64"/>
      <c r="NWB102" s="64"/>
      <c r="NWC102" s="64"/>
      <c r="NWD102" s="64"/>
      <c r="NWE102" s="64"/>
      <c r="NWF102" s="64"/>
      <c r="NWG102" s="64"/>
      <c r="NWH102" s="64"/>
      <c r="NWI102" s="64"/>
      <c r="NWJ102" s="64"/>
      <c r="NWK102" s="64"/>
      <c r="NWL102" s="64"/>
      <c r="NWM102" s="64"/>
      <c r="NWN102" s="64"/>
      <c r="NWO102" s="64"/>
      <c r="NWP102" s="64"/>
      <c r="NWQ102" s="64"/>
      <c r="NWR102" s="64"/>
      <c r="NWS102" s="64"/>
      <c r="NWT102" s="64"/>
      <c r="NWU102" s="64"/>
      <c r="NWV102" s="64"/>
      <c r="NWW102" s="64"/>
      <c r="NWX102" s="64"/>
      <c r="NWY102" s="64"/>
      <c r="NWZ102" s="64"/>
      <c r="NXA102" s="64"/>
      <c r="NXB102" s="64"/>
      <c r="NXC102" s="64"/>
      <c r="NXD102" s="64"/>
      <c r="NXE102" s="64"/>
      <c r="NXF102" s="64"/>
      <c r="NXG102" s="64"/>
      <c r="NXH102" s="64"/>
      <c r="NXI102" s="64"/>
      <c r="NXJ102" s="64"/>
      <c r="NXK102" s="64"/>
      <c r="NXL102" s="64"/>
      <c r="NXM102" s="64"/>
      <c r="NXN102" s="64"/>
      <c r="NXO102" s="64"/>
      <c r="NXP102" s="64"/>
      <c r="NXQ102" s="64"/>
      <c r="NXR102" s="64"/>
      <c r="NXS102" s="64"/>
      <c r="NXT102" s="64"/>
      <c r="NXU102" s="64"/>
      <c r="NXV102" s="64"/>
      <c r="NXW102" s="64"/>
      <c r="NXX102" s="64"/>
      <c r="NXY102" s="64"/>
      <c r="NXZ102" s="64"/>
      <c r="NYA102" s="64"/>
      <c r="NYB102" s="64"/>
      <c r="NYC102" s="64"/>
      <c r="NYD102" s="64"/>
      <c r="NYE102" s="64"/>
      <c r="NYF102" s="64"/>
      <c r="NYG102" s="64"/>
      <c r="NYH102" s="64"/>
      <c r="NYI102" s="64"/>
      <c r="NYJ102" s="64"/>
      <c r="NYK102" s="64"/>
      <c r="NYL102" s="64"/>
      <c r="NYM102" s="64"/>
      <c r="NYN102" s="64"/>
      <c r="NYO102" s="64"/>
      <c r="NYP102" s="64"/>
      <c r="NYQ102" s="64"/>
      <c r="NYR102" s="64"/>
      <c r="NYS102" s="64"/>
      <c r="NYT102" s="64"/>
      <c r="NYU102" s="64"/>
      <c r="NYV102" s="64"/>
      <c r="NYW102" s="64"/>
      <c r="NYX102" s="64"/>
      <c r="NYY102" s="64"/>
      <c r="NYZ102" s="64"/>
      <c r="NZA102" s="64"/>
      <c r="NZB102" s="64"/>
      <c r="NZC102" s="64"/>
      <c r="NZD102" s="64"/>
      <c r="NZE102" s="64"/>
      <c r="NZF102" s="64"/>
      <c r="NZG102" s="64"/>
      <c r="NZH102" s="64"/>
      <c r="NZI102" s="64"/>
      <c r="NZJ102" s="64"/>
      <c r="NZK102" s="64"/>
      <c r="NZL102" s="64"/>
      <c r="NZM102" s="64"/>
      <c r="NZN102" s="64"/>
      <c r="NZO102" s="64"/>
      <c r="NZP102" s="64"/>
      <c r="NZQ102" s="64"/>
      <c r="NZR102" s="64"/>
      <c r="NZS102" s="64"/>
      <c r="NZT102" s="64"/>
      <c r="NZU102" s="64"/>
      <c r="NZV102" s="64"/>
      <c r="NZW102" s="64"/>
      <c r="NZX102" s="64"/>
      <c r="NZY102" s="64"/>
      <c r="NZZ102" s="64"/>
      <c r="OAA102" s="64"/>
      <c r="OAB102" s="64"/>
      <c r="OAI102" s="64"/>
      <c r="OAJ102" s="64"/>
      <c r="OAK102" s="64"/>
      <c r="OAL102" s="64"/>
      <c r="OAM102" s="64"/>
      <c r="OAN102" s="64"/>
      <c r="OAO102" s="64"/>
      <c r="OAP102" s="64"/>
      <c r="OAQ102" s="64"/>
      <c r="OAR102" s="64"/>
      <c r="OAS102" s="64"/>
      <c r="OAT102" s="64"/>
      <c r="OAU102" s="64"/>
      <c r="OAV102" s="64"/>
      <c r="OAW102" s="64"/>
      <c r="OAX102" s="64"/>
      <c r="OAY102" s="64"/>
      <c r="OAZ102" s="64"/>
      <c r="OBA102" s="64"/>
      <c r="OBB102" s="64"/>
      <c r="OBC102" s="64"/>
      <c r="OBD102" s="64"/>
      <c r="OBE102" s="64"/>
      <c r="OBF102" s="64"/>
      <c r="OBG102" s="64"/>
      <c r="OBH102" s="64"/>
      <c r="OBI102" s="64"/>
      <c r="OBJ102" s="64"/>
      <c r="OBK102" s="64"/>
      <c r="OBL102" s="64"/>
      <c r="OBM102" s="64"/>
      <c r="OBN102" s="64"/>
      <c r="OBO102" s="64"/>
      <c r="OBP102" s="64"/>
      <c r="OBQ102" s="64"/>
      <c r="OBR102" s="64"/>
      <c r="OBS102" s="64"/>
      <c r="OBT102" s="64"/>
      <c r="OBU102" s="64"/>
      <c r="OBV102" s="64"/>
      <c r="OBW102" s="64"/>
      <c r="OBX102" s="64"/>
      <c r="OBY102" s="64"/>
      <c r="OBZ102" s="64"/>
      <c r="OCA102" s="64"/>
      <c r="OCB102" s="64"/>
      <c r="OCC102" s="64"/>
      <c r="OCD102" s="64"/>
      <c r="OCE102" s="64"/>
      <c r="OCF102" s="64"/>
      <c r="OCG102" s="64"/>
      <c r="OCH102" s="64"/>
      <c r="OCI102" s="64"/>
      <c r="OCJ102" s="64"/>
      <c r="OCK102" s="64"/>
      <c r="OCL102" s="64"/>
      <c r="OCM102" s="64"/>
      <c r="OCN102" s="64"/>
      <c r="OCO102" s="64"/>
      <c r="OCP102" s="64"/>
      <c r="OCQ102" s="64"/>
      <c r="OCR102" s="64"/>
      <c r="OCS102" s="64"/>
      <c r="OCT102" s="64"/>
      <c r="OCU102" s="64"/>
      <c r="OCV102" s="64"/>
      <c r="OCW102" s="64"/>
      <c r="OCX102" s="64"/>
      <c r="OCY102" s="64"/>
      <c r="OCZ102" s="64"/>
      <c r="ODA102" s="64"/>
      <c r="ODB102" s="64"/>
      <c r="ODC102" s="64"/>
      <c r="ODD102" s="64"/>
      <c r="ODE102" s="64"/>
      <c r="ODF102" s="64"/>
      <c r="ODG102" s="64"/>
      <c r="ODH102" s="64"/>
      <c r="ODI102" s="64"/>
      <c r="ODJ102" s="64"/>
      <c r="ODK102" s="64"/>
      <c r="ODL102" s="64"/>
      <c r="ODM102" s="64"/>
      <c r="ODN102" s="64"/>
      <c r="ODO102" s="64"/>
      <c r="ODP102" s="64"/>
      <c r="ODQ102" s="64"/>
      <c r="ODR102" s="64"/>
      <c r="ODS102" s="64"/>
      <c r="ODT102" s="64"/>
      <c r="ODU102" s="64"/>
      <c r="ODV102" s="64"/>
      <c r="ODW102" s="64"/>
      <c r="ODX102" s="64"/>
      <c r="ODY102" s="64"/>
      <c r="ODZ102" s="64"/>
      <c r="OEA102" s="64"/>
      <c r="OEB102" s="64"/>
      <c r="OEC102" s="64"/>
      <c r="OED102" s="64"/>
      <c r="OEE102" s="64"/>
      <c r="OEF102" s="64"/>
      <c r="OEG102" s="64"/>
      <c r="OEH102" s="64"/>
      <c r="OEI102" s="64"/>
      <c r="OEJ102" s="64"/>
      <c r="OEK102" s="64"/>
      <c r="OEL102" s="64"/>
      <c r="OEM102" s="64"/>
      <c r="OEN102" s="64"/>
      <c r="OEO102" s="64"/>
      <c r="OEP102" s="64"/>
      <c r="OEQ102" s="64"/>
      <c r="OER102" s="64"/>
      <c r="OES102" s="64"/>
      <c r="OET102" s="64"/>
      <c r="OEU102" s="64"/>
      <c r="OEV102" s="64"/>
      <c r="OEW102" s="64"/>
      <c r="OEX102" s="64"/>
      <c r="OEY102" s="64"/>
      <c r="OEZ102" s="64"/>
      <c r="OFA102" s="64"/>
      <c r="OFB102" s="64"/>
      <c r="OFC102" s="64"/>
      <c r="OFD102" s="64"/>
      <c r="OFE102" s="64"/>
      <c r="OFF102" s="64"/>
      <c r="OFG102" s="64"/>
      <c r="OFH102" s="64"/>
      <c r="OFI102" s="64"/>
      <c r="OFJ102" s="64"/>
      <c r="OFK102" s="64"/>
      <c r="OFL102" s="64"/>
      <c r="OFM102" s="64"/>
      <c r="OFN102" s="64"/>
      <c r="OFO102" s="64"/>
      <c r="OFP102" s="64"/>
      <c r="OFQ102" s="64"/>
      <c r="OFR102" s="64"/>
      <c r="OFS102" s="64"/>
      <c r="OFT102" s="64"/>
      <c r="OFU102" s="64"/>
      <c r="OFV102" s="64"/>
      <c r="OFW102" s="64"/>
      <c r="OFX102" s="64"/>
      <c r="OFY102" s="64"/>
      <c r="OFZ102" s="64"/>
      <c r="OGA102" s="64"/>
      <c r="OGB102" s="64"/>
      <c r="OGC102" s="64"/>
      <c r="OGD102" s="64"/>
      <c r="OGE102" s="64"/>
      <c r="OGF102" s="64"/>
      <c r="OGG102" s="64"/>
      <c r="OGH102" s="64"/>
      <c r="OGI102" s="64"/>
      <c r="OGJ102" s="64"/>
      <c r="OGK102" s="64"/>
      <c r="OGL102" s="64"/>
      <c r="OGM102" s="64"/>
      <c r="OGN102" s="64"/>
      <c r="OGO102" s="64"/>
      <c r="OGP102" s="64"/>
      <c r="OGQ102" s="64"/>
      <c r="OGR102" s="64"/>
      <c r="OGS102" s="64"/>
      <c r="OGT102" s="64"/>
      <c r="OGU102" s="64"/>
      <c r="OGV102" s="64"/>
      <c r="OGW102" s="64"/>
      <c r="OGX102" s="64"/>
      <c r="OGY102" s="64"/>
      <c r="OGZ102" s="64"/>
      <c r="OHA102" s="64"/>
      <c r="OHB102" s="64"/>
      <c r="OHC102" s="64"/>
      <c r="OHD102" s="64"/>
      <c r="OHE102" s="64"/>
      <c r="OHF102" s="64"/>
      <c r="OHG102" s="64"/>
      <c r="OHH102" s="64"/>
      <c r="OHI102" s="64"/>
      <c r="OHJ102" s="64"/>
      <c r="OHK102" s="64"/>
      <c r="OHL102" s="64"/>
      <c r="OHM102" s="64"/>
      <c r="OHN102" s="64"/>
      <c r="OHO102" s="64"/>
      <c r="OHP102" s="64"/>
      <c r="OHQ102" s="64"/>
      <c r="OHR102" s="64"/>
      <c r="OHS102" s="64"/>
      <c r="OHT102" s="64"/>
      <c r="OHU102" s="64"/>
      <c r="OHV102" s="64"/>
      <c r="OHW102" s="64"/>
      <c r="OHX102" s="64"/>
      <c r="OHY102" s="64"/>
      <c r="OHZ102" s="64"/>
      <c r="OIA102" s="64"/>
      <c r="OIB102" s="64"/>
      <c r="OIC102" s="64"/>
      <c r="OID102" s="64"/>
      <c r="OIE102" s="64"/>
      <c r="OIF102" s="64"/>
      <c r="OIG102" s="64"/>
      <c r="OIH102" s="64"/>
      <c r="OII102" s="64"/>
      <c r="OIJ102" s="64"/>
      <c r="OIK102" s="64"/>
      <c r="OIL102" s="64"/>
      <c r="OIM102" s="64"/>
      <c r="OIN102" s="64"/>
      <c r="OIO102" s="64"/>
      <c r="OIP102" s="64"/>
      <c r="OIQ102" s="64"/>
      <c r="OIR102" s="64"/>
      <c r="OIS102" s="64"/>
      <c r="OIT102" s="64"/>
      <c r="OIU102" s="64"/>
      <c r="OIV102" s="64"/>
      <c r="OIW102" s="64"/>
      <c r="OIX102" s="64"/>
      <c r="OIY102" s="64"/>
      <c r="OIZ102" s="64"/>
      <c r="OJA102" s="64"/>
      <c r="OJB102" s="64"/>
      <c r="OJC102" s="64"/>
      <c r="OJD102" s="64"/>
      <c r="OJE102" s="64"/>
      <c r="OJF102" s="64"/>
      <c r="OJG102" s="64"/>
      <c r="OJH102" s="64"/>
      <c r="OJI102" s="64"/>
      <c r="OJJ102" s="64"/>
      <c r="OJK102" s="64"/>
      <c r="OJL102" s="64"/>
      <c r="OJM102" s="64"/>
      <c r="OJN102" s="64"/>
      <c r="OJO102" s="64"/>
      <c r="OJP102" s="64"/>
      <c r="OJQ102" s="64"/>
      <c r="OJR102" s="64"/>
      <c r="OJS102" s="64"/>
      <c r="OJT102" s="64"/>
      <c r="OJU102" s="64"/>
      <c r="OJV102" s="64"/>
      <c r="OJW102" s="64"/>
      <c r="OJX102" s="64"/>
      <c r="OKE102" s="64"/>
      <c r="OKF102" s="64"/>
      <c r="OKG102" s="64"/>
      <c r="OKH102" s="64"/>
      <c r="OKI102" s="64"/>
      <c r="OKJ102" s="64"/>
      <c r="OKK102" s="64"/>
      <c r="OKL102" s="64"/>
      <c r="OKM102" s="64"/>
      <c r="OKN102" s="64"/>
      <c r="OKO102" s="64"/>
      <c r="OKP102" s="64"/>
      <c r="OKQ102" s="64"/>
      <c r="OKR102" s="64"/>
      <c r="OKS102" s="64"/>
      <c r="OKT102" s="64"/>
      <c r="OKU102" s="64"/>
      <c r="OKV102" s="64"/>
      <c r="OKW102" s="64"/>
      <c r="OKX102" s="64"/>
      <c r="OKY102" s="64"/>
      <c r="OKZ102" s="64"/>
      <c r="OLA102" s="64"/>
      <c r="OLB102" s="64"/>
      <c r="OLC102" s="64"/>
      <c r="OLD102" s="64"/>
      <c r="OLE102" s="64"/>
      <c r="OLF102" s="64"/>
      <c r="OLG102" s="64"/>
      <c r="OLH102" s="64"/>
      <c r="OLI102" s="64"/>
      <c r="OLJ102" s="64"/>
      <c r="OLK102" s="64"/>
      <c r="OLL102" s="64"/>
      <c r="OLM102" s="64"/>
      <c r="OLN102" s="64"/>
      <c r="OLO102" s="64"/>
      <c r="OLP102" s="64"/>
      <c r="OLQ102" s="64"/>
      <c r="OLR102" s="64"/>
      <c r="OLS102" s="64"/>
      <c r="OLT102" s="64"/>
      <c r="OLU102" s="64"/>
      <c r="OLV102" s="64"/>
      <c r="OLW102" s="64"/>
      <c r="OLX102" s="64"/>
      <c r="OLY102" s="64"/>
      <c r="OLZ102" s="64"/>
      <c r="OMA102" s="64"/>
      <c r="OMB102" s="64"/>
      <c r="OMC102" s="64"/>
      <c r="OMD102" s="64"/>
      <c r="OME102" s="64"/>
      <c r="OMF102" s="64"/>
      <c r="OMG102" s="64"/>
      <c r="OMH102" s="64"/>
      <c r="OMI102" s="64"/>
      <c r="OMJ102" s="64"/>
      <c r="OMK102" s="64"/>
      <c r="OML102" s="64"/>
      <c r="OMM102" s="64"/>
      <c r="OMN102" s="64"/>
      <c r="OMO102" s="64"/>
      <c r="OMP102" s="64"/>
      <c r="OMQ102" s="64"/>
      <c r="OMR102" s="64"/>
      <c r="OMS102" s="64"/>
      <c r="OMT102" s="64"/>
      <c r="OMU102" s="64"/>
      <c r="OMV102" s="64"/>
      <c r="OMW102" s="64"/>
      <c r="OMX102" s="64"/>
      <c r="OMY102" s="64"/>
      <c r="OMZ102" s="64"/>
      <c r="ONA102" s="64"/>
      <c r="ONB102" s="64"/>
      <c r="ONC102" s="64"/>
      <c r="OND102" s="64"/>
      <c r="ONE102" s="64"/>
      <c r="ONF102" s="64"/>
      <c r="ONG102" s="64"/>
      <c r="ONH102" s="64"/>
      <c r="ONI102" s="64"/>
      <c r="ONJ102" s="64"/>
      <c r="ONK102" s="64"/>
      <c r="ONL102" s="64"/>
      <c r="ONM102" s="64"/>
      <c r="ONN102" s="64"/>
      <c r="ONO102" s="64"/>
      <c r="ONP102" s="64"/>
      <c r="ONQ102" s="64"/>
      <c r="ONR102" s="64"/>
      <c r="ONS102" s="64"/>
      <c r="ONT102" s="64"/>
      <c r="ONU102" s="64"/>
      <c r="ONV102" s="64"/>
      <c r="ONW102" s="64"/>
      <c r="ONX102" s="64"/>
      <c r="ONY102" s="64"/>
      <c r="ONZ102" s="64"/>
      <c r="OOA102" s="64"/>
      <c r="OOB102" s="64"/>
      <c r="OOC102" s="64"/>
      <c r="OOD102" s="64"/>
      <c r="OOE102" s="64"/>
      <c r="OOF102" s="64"/>
      <c r="OOG102" s="64"/>
      <c r="OOH102" s="64"/>
      <c r="OOI102" s="64"/>
      <c r="OOJ102" s="64"/>
      <c r="OOK102" s="64"/>
      <c r="OOL102" s="64"/>
      <c r="OOM102" s="64"/>
      <c r="OON102" s="64"/>
      <c r="OOO102" s="64"/>
      <c r="OOP102" s="64"/>
      <c r="OOQ102" s="64"/>
      <c r="OOR102" s="64"/>
      <c r="OOS102" s="64"/>
      <c r="OOT102" s="64"/>
      <c r="OOU102" s="64"/>
      <c r="OOV102" s="64"/>
      <c r="OOW102" s="64"/>
      <c r="OOX102" s="64"/>
      <c r="OOY102" s="64"/>
      <c r="OOZ102" s="64"/>
      <c r="OPA102" s="64"/>
      <c r="OPB102" s="64"/>
      <c r="OPC102" s="64"/>
      <c r="OPD102" s="64"/>
      <c r="OPE102" s="64"/>
      <c r="OPF102" s="64"/>
      <c r="OPG102" s="64"/>
      <c r="OPH102" s="64"/>
      <c r="OPI102" s="64"/>
      <c r="OPJ102" s="64"/>
      <c r="OPK102" s="64"/>
      <c r="OPL102" s="64"/>
      <c r="OPM102" s="64"/>
      <c r="OPN102" s="64"/>
      <c r="OPO102" s="64"/>
      <c r="OPP102" s="64"/>
      <c r="OPQ102" s="64"/>
      <c r="OPR102" s="64"/>
      <c r="OPS102" s="64"/>
      <c r="OPT102" s="64"/>
      <c r="OPU102" s="64"/>
      <c r="OPV102" s="64"/>
      <c r="OPW102" s="64"/>
      <c r="OPX102" s="64"/>
      <c r="OPY102" s="64"/>
      <c r="OPZ102" s="64"/>
      <c r="OQA102" s="64"/>
      <c r="OQB102" s="64"/>
      <c r="OQC102" s="64"/>
      <c r="OQD102" s="64"/>
      <c r="OQE102" s="64"/>
      <c r="OQF102" s="64"/>
      <c r="OQG102" s="64"/>
      <c r="OQH102" s="64"/>
      <c r="OQI102" s="64"/>
      <c r="OQJ102" s="64"/>
      <c r="OQK102" s="64"/>
      <c r="OQL102" s="64"/>
      <c r="OQM102" s="64"/>
      <c r="OQN102" s="64"/>
      <c r="OQO102" s="64"/>
      <c r="OQP102" s="64"/>
      <c r="OQQ102" s="64"/>
      <c r="OQR102" s="64"/>
      <c r="OQS102" s="64"/>
      <c r="OQT102" s="64"/>
      <c r="OQU102" s="64"/>
      <c r="OQV102" s="64"/>
      <c r="OQW102" s="64"/>
      <c r="OQX102" s="64"/>
      <c r="OQY102" s="64"/>
      <c r="OQZ102" s="64"/>
      <c r="ORA102" s="64"/>
      <c r="ORB102" s="64"/>
      <c r="ORC102" s="64"/>
      <c r="ORD102" s="64"/>
      <c r="ORE102" s="64"/>
      <c r="ORF102" s="64"/>
      <c r="ORG102" s="64"/>
      <c r="ORH102" s="64"/>
      <c r="ORI102" s="64"/>
      <c r="ORJ102" s="64"/>
      <c r="ORK102" s="64"/>
      <c r="ORL102" s="64"/>
      <c r="ORM102" s="64"/>
      <c r="ORN102" s="64"/>
      <c r="ORO102" s="64"/>
      <c r="ORP102" s="64"/>
      <c r="ORQ102" s="64"/>
      <c r="ORR102" s="64"/>
      <c r="ORS102" s="64"/>
      <c r="ORT102" s="64"/>
      <c r="ORU102" s="64"/>
      <c r="ORV102" s="64"/>
      <c r="ORW102" s="64"/>
      <c r="ORX102" s="64"/>
      <c r="ORY102" s="64"/>
      <c r="ORZ102" s="64"/>
      <c r="OSA102" s="64"/>
      <c r="OSB102" s="64"/>
      <c r="OSC102" s="64"/>
      <c r="OSD102" s="64"/>
      <c r="OSE102" s="64"/>
      <c r="OSF102" s="64"/>
      <c r="OSG102" s="64"/>
      <c r="OSH102" s="64"/>
      <c r="OSI102" s="64"/>
      <c r="OSJ102" s="64"/>
      <c r="OSK102" s="64"/>
      <c r="OSL102" s="64"/>
      <c r="OSM102" s="64"/>
      <c r="OSN102" s="64"/>
      <c r="OSO102" s="64"/>
      <c r="OSP102" s="64"/>
      <c r="OSQ102" s="64"/>
      <c r="OSR102" s="64"/>
      <c r="OSS102" s="64"/>
      <c r="OST102" s="64"/>
      <c r="OSU102" s="64"/>
      <c r="OSV102" s="64"/>
      <c r="OSW102" s="64"/>
      <c r="OSX102" s="64"/>
      <c r="OSY102" s="64"/>
      <c r="OSZ102" s="64"/>
      <c r="OTA102" s="64"/>
      <c r="OTB102" s="64"/>
      <c r="OTC102" s="64"/>
      <c r="OTD102" s="64"/>
      <c r="OTE102" s="64"/>
      <c r="OTF102" s="64"/>
      <c r="OTG102" s="64"/>
      <c r="OTH102" s="64"/>
      <c r="OTI102" s="64"/>
      <c r="OTJ102" s="64"/>
      <c r="OTK102" s="64"/>
      <c r="OTL102" s="64"/>
      <c r="OTM102" s="64"/>
      <c r="OTN102" s="64"/>
      <c r="OTO102" s="64"/>
      <c r="OTP102" s="64"/>
      <c r="OTQ102" s="64"/>
      <c r="OTR102" s="64"/>
      <c r="OTS102" s="64"/>
      <c r="OTT102" s="64"/>
      <c r="OUA102" s="64"/>
      <c r="OUB102" s="64"/>
      <c r="OUC102" s="64"/>
      <c r="OUD102" s="64"/>
      <c r="OUE102" s="64"/>
      <c r="OUF102" s="64"/>
      <c r="OUG102" s="64"/>
      <c r="OUH102" s="64"/>
      <c r="OUI102" s="64"/>
      <c r="OUJ102" s="64"/>
      <c r="OUK102" s="64"/>
      <c r="OUL102" s="64"/>
      <c r="OUM102" s="64"/>
      <c r="OUN102" s="64"/>
      <c r="OUO102" s="64"/>
      <c r="OUP102" s="64"/>
      <c r="OUQ102" s="64"/>
      <c r="OUR102" s="64"/>
      <c r="OUS102" s="64"/>
      <c r="OUT102" s="64"/>
      <c r="OUU102" s="64"/>
      <c r="OUV102" s="64"/>
      <c r="OUW102" s="64"/>
      <c r="OUX102" s="64"/>
      <c r="OUY102" s="64"/>
      <c r="OUZ102" s="64"/>
      <c r="OVA102" s="64"/>
      <c r="OVB102" s="64"/>
      <c r="OVC102" s="64"/>
      <c r="OVD102" s="64"/>
      <c r="OVE102" s="64"/>
      <c r="OVF102" s="64"/>
      <c r="OVG102" s="64"/>
      <c r="OVH102" s="64"/>
      <c r="OVI102" s="64"/>
      <c r="OVJ102" s="64"/>
      <c r="OVK102" s="64"/>
      <c r="OVL102" s="64"/>
      <c r="OVM102" s="64"/>
      <c r="OVN102" s="64"/>
      <c r="OVO102" s="64"/>
      <c r="OVP102" s="64"/>
      <c r="OVQ102" s="64"/>
      <c r="OVR102" s="64"/>
      <c r="OVS102" s="64"/>
      <c r="OVT102" s="64"/>
      <c r="OVU102" s="64"/>
      <c r="OVV102" s="64"/>
      <c r="OVW102" s="64"/>
      <c r="OVX102" s="64"/>
      <c r="OVY102" s="64"/>
      <c r="OVZ102" s="64"/>
      <c r="OWA102" s="64"/>
      <c r="OWB102" s="64"/>
      <c r="OWC102" s="64"/>
      <c r="OWD102" s="64"/>
      <c r="OWE102" s="64"/>
      <c r="OWF102" s="64"/>
      <c r="OWG102" s="64"/>
      <c r="OWH102" s="64"/>
      <c r="OWI102" s="64"/>
      <c r="OWJ102" s="64"/>
      <c r="OWK102" s="64"/>
      <c r="OWL102" s="64"/>
      <c r="OWM102" s="64"/>
      <c r="OWN102" s="64"/>
      <c r="OWO102" s="64"/>
      <c r="OWP102" s="64"/>
      <c r="OWQ102" s="64"/>
      <c r="OWR102" s="64"/>
      <c r="OWS102" s="64"/>
      <c r="OWT102" s="64"/>
      <c r="OWU102" s="64"/>
      <c r="OWV102" s="64"/>
      <c r="OWW102" s="64"/>
      <c r="OWX102" s="64"/>
      <c r="OWY102" s="64"/>
      <c r="OWZ102" s="64"/>
      <c r="OXA102" s="64"/>
      <c r="OXB102" s="64"/>
      <c r="OXC102" s="64"/>
      <c r="OXD102" s="64"/>
      <c r="OXE102" s="64"/>
      <c r="OXF102" s="64"/>
      <c r="OXG102" s="64"/>
      <c r="OXH102" s="64"/>
      <c r="OXI102" s="64"/>
      <c r="OXJ102" s="64"/>
      <c r="OXK102" s="64"/>
      <c r="OXL102" s="64"/>
      <c r="OXM102" s="64"/>
      <c r="OXN102" s="64"/>
      <c r="OXO102" s="64"/>
      <c r="OXP102" s="64"/>
      <c r="OXQ102" s="64"/>
      <c r="OXR102" s="64"/>
      <c r="OXS102" s="64"/>
      <c r="OXT102" s="64"/>
      <c r="OXU102" s="64"/>
      <c r="OXV102" s="64"/>
      <c r="OXW102" s="64"/>
      <c r="OXX102" s="64"/>
      <c r="OXY102" s="64"/>
      <c r="OXZ102" s="64"/>
      <c r="OYA102" s="64"/>
      <c r="OYB102" s="64"/>
      <c r="OYC102" s="64"/>
      <c r="OYD102" s="64"/>
      <c r="OYE102" s="64"/>
      <c r="OYF102" s="64"/>
      <c r="OYG102" s="64"/>
      <c r="OYH102" s="64"/>
      <c r="OYI102" s="64"/>
      <c r="OYJ102" s="64"/>
      <c r="OYK102" s="64"/>
      <c r="OYL102" s="64"/>
      <c r="OYM102" s="64"/>
      <c r="OYN102" s="64"/>
      <c r="OYO102" s="64"/>
      <c r="OYP102" s="64"/>
      <c r="OYQ102" s="64"/>
      <c r="OYR102" s="64"/>
      <c r="OYS102" s="64"/>
      <c r="OYT102" s="64"/>
      <c r="OYU102" s="64"/>
      <c r="OYV102" s="64"/>
      <c r="OYW102" s="64"/>
      <c r="OYX102" s="64"/>
      <c r="OYY102" s="64"/>
      <c r="OYZ102" s="64"/>
      <c r="OZA102" s="64"/>
      <c r="OZB102" s="64"/>
      <c r="OZC102" s="64"/>
      <c r="OZD102" s="64"/>
      <c r="OZE102" s="64"/>
      <c r="OZF102" s="64"/>
      <c r="OZG102" s="64"/>
      <c r="OZH102" s="64"/>
      <c r="OZI102" s="64"/>
      <c r="OZJ102" s="64"/>
      <c r="OZK102" s="64"/>
      <c r="OZL102" s="64"/>
      <c r="OZM102" s="64"/>
      <c r="OZN102" s="64"/>
      <c r="OZO102" s="64"/>
      <c r="OZP102" s="64"/>
      <c r="OZQ102" s="64"/>
      <c r="OZR102" s="64"/>
      <c r="OZS102" s="64"/>
      <c r="OZT102" s="64"/>
      <c r="OZU102" s="64"/>
      <c r="OZV102" s="64"/>
      <c r="OZW102" s="64"/>
      <c r="OZX102" s="64"/>
      <c r="OZY102" s="64"/>
      <c r="OZZ102" s="64"/>
      <c r="PAA102" s="64"/>
      <c r="PAB102" s="64"/>
      <c r="PAC102" s="64"/>
      <c r="PAD102" s="64"/>
      <c r="PAE102" s="64"/>
      <c r="PAF102" s="64"/>
      <c r="PAG102" s="64"/>
      <c r="PAH102" s="64"/>
      <c r="PAI102" s="64"/>
      <c r="PAJ102" s="64"/>
      <c r="PAK102" s="64"/>
      <c r="PAL102" s="64"/>
      <c r="PAM102" s="64"/>
      <c r="PAN102" s="64"/>
      <c r="PAO102" s="64"/>
      <c r="PAP102" s="64"/>
      <c r="PAQ102" s="64"/>
      <c r="PAR102" s="64"/>
      <c r="PAS102" s="64"/>
      <c r="PAT102" s="64"/>
      <c r="PAU102" s="64"/>
      <c r="PAV102" s="64"/>
      <c r="PAW102" s="64"/>
      <c r="PAX102" s="64"/>
      <c r="PAY102" s="64"/>
      <c r="PAZ102" s="64"/>
      <c r="PBA102" s="64"/>
      <c r="PBB102" s="64"/>
      <c r="PBC102" s="64"/>
      <c r="PBD102" s="64"/>
      <c r="PBE102" s="64"/>
      <c r="PBF102" s="64"/>
      <c r="PBG102" s="64"/>
      <c r="PBH102" s="64"/>
      <c r="PBI102" s="64"/>
      <c r="PBJ102" s="64"/>
      <c r="PBK102" s="64"/>
      <c r="PBL102" s="64"/>
      <c r="PBM102" s="64"/>
      <c r="PBN102" s="64"/>
      <c r="PBO102" s="64"/>
      <c r="PBP102" s="64"/>
      <c r="PBQ102" s="64"/>
      <c r="PBR102" s="64"/>
      <c r="PBS102" s="64"/>
      <c r="PBT102" s="64"/>
      <c r="PBU102" s="64"/>
      <c r="PBV102" s="64"/>
      <c r="PBW102" s="64"/>
      <c r="PBX102" s="64"/>
      <c r="PBY102" s="64"/>
      <c r="PBZ102" s="64"/>
      <c r="PCA102" s="64"/>
      <c r="PCB102" s="64"/>
      <c r="PCC102" s="64"/>
      <c r="PCD102" s="64"/>
      <c r="PCE102" s="64"/>
      <c r="PCF102" s="64"/>
      <c r="PCG102" s="64"/>
      <c r="PCH102" s="64"/>
      <c r="PCI102" s="64"/>
      <c r="PCJ102" s="64"/>
      <c r="PCK102" s="64"/>
      <c r="PCL102" s="64"/>
      <c r="PCM102" s="64"/>
      <c r="PCN102" s="64"/>
      <c r="PCO102" s="64"/>
      <c r="PCP102" s="64"/>
      <c r="PCQ102" s="64"/>
      <c r="PCR102" s="64"/>
      <c r="PCS102" s="64"/>
      <c r="PCT102" s="64"/>
      <c r="PCU102" s="64"/>
      <c r="PCV102" s="64"/>
      <c r="PCW102" s="64"/>
      <c r="PCX102" s="64"/>
      <c r="PCY102" s="64"/>
      <c r="PCZ102" s="64"/>
      <c r="PDA102" s="64"/>
      <c r="PDB102" s="64"/>
      <c r="PDC102" s="64"/>
      <c r="PDD102" s="64"/>
      <c r="PDE102" s="64"/>
      <c r="PDF102" s="64"/>
      <c r="PDG102" s="64"/>
      <c r="PDH102" s="64"/>
      <c r="PDI102" s="64"/>
      <c r="PDJ102" s="64"/>
      <c r="PDK102" s="64"/>
      <c r="PDL102" s="64"/>
      <c r="PDM102" s="64"/>
      <c r="PDN102" s="64"/>
      <c r="PDO102" s="64"/>
      <c r="PDP102" s="64"/>
      <c r="PDW102" s="64"/>
      <c r="PDX102" s="64"/>
      <c r="PDY102" s="64"/>
      <c r="PDZ102" s="64"/>
      <c r="PEA102" s="64"/>
      <c r="PEB102" s="64"/>
      <c r="PEC102" s="64"/>
      <c r="PED102" s="64"/>
      <c r="PEE102" s="64"/>
      <c r="PEF102" s="64"/>
      <c r="PEG102" s="64"/>
      <c r="PEH102" s="64"/>
      <c r="PEI102" s="64"/>
      <c r="PEJ102" s="64"/>
      <c r="PEK102" s="64"/>
      <c r="PEL102" s="64"/>
      <c r="PEM102" s="64"/>
      <c r="PEN102" s="64"/>
      <c r="PEO102" s="64"/>
      <c r="PEP102" s="64"/>
      <c r="PEQ102" s="64"/>
      <c r="PER102" s="64"/>
      <c r="PES102" s="64"/>
      <c r="PET102" s="64"/>
      <c r="PEU102" s="64"/>
      <c r="PEV102" s="64"/>
      <c r="PEW102" s="64"/>
      <c r="PEX102" s="64"/>
      <c r="PEY102" s="64"/>
      <c r="PEZ102" s="64"/>
      <c r="PFA102" s="64"/>
      <c r="PFB102" s="64"/>
      <c r="PFC102" s="64"/>
      <c r="PFD102" s="64"/>
      <c r="PFE102" s="64"/>
      <c r="PFF102" s="64"/>
      <c r="PFG102" s="64"/>
      <c r="PFH102" s="64"/>
      <c r="PFI102" s="64"/>
      <c r="PFJ102" s="64"/>
      <c r="PFK102" s="64"/>
      <c r="PFL102" s="64"/>
      <c r="PFM102" s="64"/>
      <c r="PFN102" s="64"/>
      <c r="PFO102" s="64"/>
      <c r="PFP102" s="64"/>
      <c r="PFQ102" s="64"/>
      <c r="PFR102" s="64"/>
      <c r="PFS102" s="64"/>
      <c r="PFT102" s="64"/>
      <c r="PFU102" s="64"/>
      <c r="PFV102" s="64"/>
      <c r="PFW102" s="64"/>
      <c r="PFX102" s="64"/>
      <c r="PFY102" s="64"/>
      <c r="PFZ102" s="64"/>
      <c r="PGA102" s="64"/>
      <c r="PGB102" s="64"/>
      <c r="PGC102" s="64"/>
      <c r="PGD102" s="64"/>
      <c r="PGE102" s="64"/>
      <c r="PGF102" s="64"/>
      <c r="PGG102" s="64"/>
      <c r="PGH102" s="64"/>
      <c r="PGI102" s="64"/>
      <c r="PGJ102" s="64"/>
      <c r="PGK102" s="64"/>
      <c r="PGL102" s="64"/>
      <c r="PGM102" s="64"/>
      <c r="PGN102" s="64"/>
      <c r="PGO102" s="64"/>
      <c r="PGP102" s="64"/>
      <c r="PGQ102" s="64"/>
      <c r="PGR102" s="64"/>
      <c r="PGS102" s="64"/>
      <c r="PGT102" s="64"/>
      <c r="PGU102" s="64"/>
      <c r="PGV102" s="64"/>
      <c r="PGW102" s="64"/>
      <c r="PGX102" s="64"/>
      <c r="PGY102" s="64"/>
      <c r="PGZ102" s="64"/>
      <c r="PHA102" s="64"/>
      <c r="PHB102" s="64"/>
      <c r="PHC102" s="64"/>
      <c r="PHD102" s="64"/>
      <c r="PHE102" s="64"/>
      <c r="PHF102" s="64"/>
      <c r="PHG102" s="64"/>
      <c r="PHH102" s="64"/>
      <c r="PHI102" s="64"/>
      <c r="PHJ102" s="64"/>
      <c r="PHK102" s="64"/>
      <c r="PHL102" s="64"/>
      <c r="PHM102" s="64"/>
      <c r="PHN102" s="64"/>
      <c r="PHO102" s="64"/>
      <c r="PHP102" s="64"/>
      <c r="PHQ102" s="64"/>
      <c r="PHR102" s="64"/>
      <c r="PHS102" s="64"/>
      <c r="PHT102" s="64"/>
      <c r="PHU102" s="64"/>
      <c r="PHV102" s="64"/>
      <c r="PHW102" s="64"/>
      <c r="PHX102" s="64"/>
      <c r="PHY102" s="64"/>
      <c r="PHZ102" s="64"/>
      <c r="PIA102" s="64"/>
      <c r="PIB102" s="64"/>
      <c r="PIC102" s="64"/>
      <c r="PID102" s="64"/>
      <c r="PIE102" s="64"/>
      <c r="PIF102" s="64"/>
      <c r="PIG102" s="64"/>
      <c r="PIH102" s="64"/>
      <c r="PII102" s="64"/>
      <c r="PIJ102" s="64"/>
      <c r="PIK102" s="64"/>
      <c r="PIL102" s="64"/>
      <c r="PIM102" s="64"/>
      <c r="PIN102" s="64"/>
      <c r="PIO102" s="64"/>
      <c r="PIP102" s="64"/>
      <c r="PIQ102" s="64"/>
      <c r="PIR102" s="64"/>
      <c r="PIS102" s="64"/>
      <c r="PIT102" s="64"/>
      <c r="PIU102" s="64"/>
      <c r="PIV102" s="64"/>
      <c r="PIW102" s="64"/>
      <c r="PIX102" s="64"/>
      <c r="PIY102" s="64"/>
      <c r="PIZ102" s="64"/>
      <c r="PJA102" s="64"/>
      <c r="PJB102" s="64"/>
      <c r="PJC102" s="64"/>
      <c r="PJD102" s="64"/>
      <c r="PJE102" s="64"/>
      <c r="PJF102" s="64"/>
      <c r="PJG102" s="64"/>
      <c r="PJH102" s="64"/>
      <c r="PJI102" s="64"/>
      <c r="PJJ102" s="64"/>
      <c r="PJK102" s="64"/>
      <c r="PJL102" s="64"/>
      <c r="PJM102" s="64"/>
      <c r="PJN102" s="64"/>
      <c r="PJO102" s="64"/>
      <c r="PJP102" s="64"/>
      <c r="PJQ102" s="64"/>
      <c r="PJR102" s="64"/>
      <c r="PJS102" s="64"/>
      <c r="PJT102" s="64"/>
      <c r="PJU102" s="64"/>
      <c r="PJV102" s="64"/>
      <c r="PJW102" s="64"/>
      <c r="PJX102" s="64"/>
      <c r="PJY102" s="64"/>
      <c r="PJZ102" s="64"/>
      <c r="PKA102" s="64"/>
      <c r="PKB102" s="64"/>
      <c r="PKC102" s="64"/>
      <c r="PKD102" s="64"/>
      <c r="PKE102" s="64"/>
      <c r="PKF102" s="64"/>
      <c r="PKG102" s="64"/>
      <c r="PKH102" s="64"/>
      <c r="PKI102" s="64"/>
      <c r="PKJ102" s="64"/>
      <c r="PKK102" s="64"/>
      <c r="PKL102" s="64"/>
      <c r="PKM102" s="64"/>
      <c r="PKN102" s="64"/>
      <c r="PKO102" s="64"/>
      <c r="PKP102" s="64"/>
      <c r="PKQ102" s="64"/>
      <c r="PKR102" s="64"/>
      <c r="PKS102" s="64"/>
      <c r="PKT102" s="64"/>
      <c r="PKU102" s="64"/>
      <c r="PKV102" s="64"/>
      <c r="PKW102" s="64"/>
      <c r="PKX102" s="64"/>
      <c r="PKY102" s="64"/>
      <c r="PKZ102" s="64"/>
      <c r="PLA102" s="64"/>
      <c r="PLB102" s="64"/>
      <c r="PLC102" s="64"/>
      <c r="PLD102" s="64"/>
      <c r="PLE102" s="64"/>
      <c r="PLF102" s="64"/>
      <c r="PLG102" s="64"/>
      <c r="PLH102" s="64"/>
      <c r="PLI102" s="64"/>
      <c r="PLJ102" s="64"/>
      <c r="PLK102" s="64"/>
      <c r="PLL102" s="64"/>
      <c r="PLM102" s="64"/>
      <c r="PLN102" s="64"/>
      <c r="PLO102" s="64"/>
      <c r="PLP102" s="64"/>
      <c r="PLQ102" s="64"/>
      <c r="PLR102" s="64"/>
      <c r="PLS102" s="64"/>
      <c r="PLT102" s="64"/>
      <c r="PLU102" s="64"/>
      <c r="PLV102" s="64"/>
      <c r="PLW102" s="64"/>
      <c r="PLX102" s="64"/>
      <c r="PLY102" s="64"/>
      <c r="PLZ102" s="64"/>
      <c r="PMA102" s="64"/>
      <c r="PMB102" s="64"/>
      <c r="PMC102" s="64"/>
      <c r="PMD102" s="64"/>
      <c r="PME102" s="64"/>
      <c r="PMF102" s="64"/>
      <c r="PMG102" s="64"/>
      <c r="PMH102" s="64"/>
      <c r="PMI102" s="64"/>
      <c r="PMJ102" s="64"/>
      <c r="PMK102" s="64"/>
      <c r="PML102" s="64"/>
      <c r="PMM102" s="64"/>
      <c r="PMN102" s="64"/>
      <c r="PMO102" s="64"/>
      <c r="PMP102" s="64"/>
      <c r="PMQ102" s="64"/>
      <c r="PMR102" s="64"/>
      <c r="PMS102" s="64"/>
      <c r="PMT102" s="64"/>
      <c r="PMU102" s="64"/>
      <c r="PMV102" s="64"/>
      <c r="PMW102" s="64"/>
      <c r="PMX102" s="64"/>
      <c r="PMY102" s="64"/>
      <c r="PMZ102" s="64"/>
      <c r="PNA102" s="64"/>
      <c r="PNB102" s="64"/>
      <c r="PNC102" s="64"/>
      <c r="PND102" s="64"/>
      <c r="PNE102" s="64"/>
      <c r="PNF102" s="64"/>
      <c r="PNG102" s="64"/>
      <c r="PNH102" s="64"/>
      <c r="PNI102" s="64"/>
      <c r="PNJ102" s="64"/>
      <c r="PNK102" s="64"/>
      <c r="PNL102" s="64"/>
      <c r="PNS102" s="64"/>
      <c r="PNT102" s="64"/>
      <c r="PNU102" s="64"/>
      <c r="PNV102" s="64"/>
      <c r="PNW102" s="64"/>
      <c r="PNX102" s="64"/>
      <c r="PNY102" s="64"/>
      <c r="PNZ102" s="64"/>
      <c r="POA102" s="64"/>
      <c r="POB102" s="64"/>
      <c r="POC102" s="64"/>
      <c r="POD102" s="64"/>
      <c r="POE102" s="64"/>
      <c r="POF102" s="64"/>
      <c r="POG102" s="64"/>
      <c r="POH102" s="64"/>
      <c r="POI102" s="64"/>
      <c r="POJ102" s="64"/>
      <c r="POK102" s="64"/>
      <c r="POL102" s="64"/>
      <c r="POM102" s="64"/>
      <c r="PON102" s="64"/>
      <c r="POO102" s="64"/>
      <c r="POP102" s="64"/>
      <c r="POQ102" s="64"/>
      <c r="POR102" s="64"/>
      <c r="POS102" s="64"/>
      <c r="POT102" s="64"/>
      <c r="POU102" s="64"/>
      <c r="POV102" s="64"/>
      <c r="POW102" s="64"/>
      <c r="POX102" s="64"/>
      <c r="POY102" s="64"/>
      <c r="POZ102" s="64"/>
      <c r="PPA102" s="64"/>
      <c r="PPB102" s="64"/>
      <c r="PPC102" s="64"/>
      <c r="PPD102" s="64"/>
      <c r="PPE102" s="64"/>
      <c r="PPF102" s="64"/>
      <c r="PPG102" s="64"/>
      <c r="PPH102" s="64"/>
      <c r="PPI102" s="64"/>
      <c r="PPJ102" s="64"/>
      <c r="PPK102" s="64"/>
      <c r="PPL102" s="64"/>
      <c r="PPM102" s="64"/>
      <c r="PPN102" s="64"/>
      <c r="PPO102" s="64"/>
      <c r="PPP102" s="64"/>
      <c r="PPQ102" s="64"/>
      <c r="PPR102" s="64"/>
      <c r="PPS102" s="64"/>
      <c r="PPT102" s="64"/>
      <c r="PPU102" s="64"/>
      <c r="PPV102" s="64"/>
      <c r="PPW102" s="64"/>
      <c r="PPX102" s="64"/>
      <c r="PPY102" s="64"/>
      <c r="PPZ102" s="64"/>
      <c r="PQA102" s="64"/>
      <c r="PQB102" s="64"/>
      <c r="PQC102" s="64"/>
      <c r="PQD102" s="64"/>
      <c r="PQE102" s="64"/>
      <c r="PQF102" s="64"/>
      <c r="PQG102" s="64"/>
      <c r="PQH102" s="64"/>
      <c r="PQI102" s="64"/>
      <c r="PQJ102" s="64"/>
      <c r="PQK102" s="64"/>
      <c r="PQL102" s="64"/>
      <c r="PQM102" s="64"/>
      <c r="PQN102" s="64"/>
      <c r="PQO102" s="64"/>
      <c r="PQP102" s="64"/>
      <c r="PQQ102" s="64"/>
      <c r="PQR102" s="64"/>
      <c r="PQS102" s="64"/>
      <c r="PQT102" s="64"/>
      <c r="PQU102" s="64"/>
      <c r="PQV102" s="64"/>
      <c r="PQW102" s="64"/>
      <c r="PQX102" s="64"/>
      <c r="PQY102" s="64"/>
      <c r="PQZ102" s="64"/>
      <c r="PRA102" s="64"/>
      <c r="PRB102" s="64"/>
      <c r="PRC102" s="64"/>
      <c r="PRD102" s="64"/>
      <c r="PRE102" s="64"/>
      <c r="PRF102" s="64"/>
      <c r="PRG102" s="64"/>
      <c r="PRH102" s="64"/>
      <c r="PRI102" s="64"/>
      <c r="PRJ102" s="64"/>
      <c r="PRK102" s="64"/>
      <c r="PRL102" s="64"/>
      <c r="PRM102" s="64"/>
      <c r="PRN102" s="64"/>
      <c r="PRO102" s="64"/>
      <c r="PRP102" s="64"/>
      <c r="PRQ102" s="64"/>
      <c r="PRR102" s="64"/>
      <c r="PRS102" s="64"/>
      <c r="PRT102" s="64"/>
      <c r="PRU102" s="64"/>
      <c r="PRV102" s="64"/>
      <c r="PRW102" s="64"/>
      <c r="PRX102" s="64"/>
      <c r="PRY102" s="64"/>
      <c r="PRZ102" s="64"/>
      <c r="PSA102" s="64"/>
      <c r="PSB102" s="64"/>
      <c r="PSC102" s="64"/>
      <c r="PSD102" s="64"/>
      <c r="PSE102" s="64"/>
      <c r="PSF102" s="64"/>
      <c r="PSG102" s="64"/>
      <c r="PSH102" s="64"/>
      <c r="PSI102" s="64"/>
      <c r="PSJ102" s="64"/>
      <c r="PSK102" s="64"/>
      <c r="PSL102" s="64"/>
      <c r="PSM102" s="64"/>
      <c r="PSN102" s="64"/>
      <c r="PSO102" s="64"/>
      <c r="PSP102" s="64"/>
      <c r="PSQ102" s="64"/>
      <c r="PSR102" s="64"/>
      <c r="PSS102" s="64"/>
      <c r="PST102" s="64"/>
      <c r="PSU102" s="64"/>
      <c r="PSV102" s="64"/>
      <c r="PSW102" s="64"/>
      <c r="PSX102" s="64"/>
      <c r="PSY102" s="64"/>
      <c r="PSZ102" s="64"/>
      <c r="PTA102" s="64"/>
      <c r="PTB102" s="64"/>
      <c r="PTC102" s="64"/>
      <c r="PTD102" s="64"/>
      <c r="PTE102" s="64"/>
      <c r="PTF102" s="64"/>
      <c r="PTG102" s="64"/>
      <c r="PTH102" s="64"/>
      <c r="PTI102" s="64"/>
      <c r="PTJ102" s="64"/>
      <c r="PTK102" s="64"/>
      <c r="PTL102" s="64"/>
      <c r="PTM102" s="64"/>
      <c r="PTN102" s="64"/>
      <c r="PTO102" s="64"/>
      <c r="PTP102" s="64"/>
      <c r="PTQ102" s="64"/>
      <c r="PTR102" s="64"/>
      <c r="PTS102" s="64"/>
      <c r="PTT102" s="64"/>
      <c r="PTU102" s="64"/>
      <c r="PTV102" s="64"/>
      <c r="PTW102" s="64"/>
      <c r="PTX102" s="64"/>
      <c r="PTY102" s="64"/>
      <c r="PTZ102" s="64"/>
      <c r="PUA102" s="64"/>
      <c r="PUB102" s="64"/>
      <c r="PUC102" s="64"/>
      <c r="PUD102" s="64"/>
      <c r="PUE102" s="64"/>
      <c r="PUF102" s="64"/>
      <c r="PUG102" s="64"/>
      <c r="PUH102" s="64"/>
      <c r="PUI102" s="64"/>
      <c r="PUJ102" s="64"/>
      <c r="PUK102" s="64"/>
      <c r="PUL102" s="64"/>
      <c r="PUM102" s="64"/>
      <c r="PUN102" s="64"/>
      <c r="PUO102" s="64"/>
      <c r="PUP102" s="64"/>
      <c r="PUQ102" s="64"/>
      <c r="PUR102" s="64"/>
      <c r="PUS102" s="64"/>
      <c r="PUT102" s="64"/>
      <c r="PUU102" s="64"/>
      <c r="PUV102" s="64"/>
      <c r="PUW102" s="64"/>
      <c r="PUX102" s="64"/>
      <c r="PUY102" s="64"/>
      <c r="PUZ102" s="64"/>
      <c r="PVA102" s="64"/>
      <c r="PVB102" s="64"/>
      <c r="PVC102" s="64"/>
      <c r="PVD102" s="64"/>
      <c r="PVE102" s="64"/>
      <c r="PVF102" s="64"/>
      <c r="PVG102" s="64"/>
      <c r="PVH102" s="64"/>
      <c r="PVI102" s="64"/>
      <c r="PVJ102" s="64"/>
      <c r="PVK102" s="64"/>
      <c r="PVL102" s="64"/>
      <c r="PVM102" s="64"/>
      <c r="PVN102" s="64"/>
      <c r="PVO102" s="64"/>
      <c r="PVP102" s="64"/>
      <c r="PVQ102" s="64"/>
      <c r="PVR102" s="64"/>
      <c r="PVS102" s="64"/>
      <c r="PVT102" s="64"/>
      <c r="PVU102" s="64"/>
      <c r="PVV102" s="64"/>
      <c r="PVW102" s="64"/>
      <c r="PVX102" s="64"/>
      <c r="PVY102" s="64"/>
      <c r="PVZ102" s="64"/>
      <c r="PWA102" s="64"/>
      <c r="PWB102" s="64"/>
      <c r="PWC102" s="64"/>
      <c r="PWD102" s="64"/>
      <c r="PWE102" s="64"/>
      <c r="PWF102" s="64"/>
      <c r="PWG102" s="64"/>
      <c r="PWH102" s="64"/>
      <c r="PWI102" s="64"/>
      <c r="PWJ102" s="64"/>
      <c r="PWK102" s="64"/>
      <c r="PWL102" s="64"/>
      <c r="PWM102" s="64"/>
      <c r="PWN102" s="64"/>
      <c r="PWO102" s="64"/>
      <c r="PWP102" s="64"/>
      <c r="PWQ102" s="64"/>
      <c r="PWR102" s="64"/>
      <c r="PWS102" s="64"/>
      <c r="PWT102" s="64"/>
      <c r="PWU102" s="64"/>
      <c r="PWV102" s="64"/>
      <c r="PWW102" s="64"/>
      <c r="PWX102" s="64"/>
      <c r="PWY102" s="64"/>
      <c r="PWZ102" s="64"/>
      <c r="PXA102" s="64"/>
      <c r="PXB102" s="64"/>
      <c r="PXC102" s="64"/>
      <c r="PXD102" s="64"/>
      <c r="PXE102" s="64"/>
      <c r="PXF102" s="64"/>
      <c r="PXG102" s="64"/>
      <c r="PXH102" s="64"/>
      <c r="PXO102" s="64"/>
      <c r="PXP102" s="64"/>
      <c r="PXQ102" s="64"/>
      <c r="PXR102" s="64"/>
      <c r="PXS102" s="64"/>
      <c r="PXT102" s="64"/>
      <c r="PXU102" s="64"/>
      <c r="PXV102" s="64"/>
      <c r="PXW102" s="64"/>
      <c r="PXX102" s="64"/>
      <c r="PXY102" s="64"/>
      <c r="PXZ102" s="64"/>
      <c r="PYA102" s="64"/>
      <c r="PYB102" s="64"/>
      <c r="PYC102" s="64"/>
      <c r="PYD102" s="64"/>
      <c r="PYE102" s="64"/>
      <c r="PYF102" s="64"/>
      <c r="PYG102" s="64"/>
      <c r="PYH102" s="64"/>
      <c r="PYI102" s="64"/>
      <c r="PYJ102" s="64"/>
      <c r="PYK102" s="64"/>
      <c r="PYL102" s="64"/>
      <c r="PYM102" s="64"/>
      <c r="PYN102" s="64"/>
      <c r="PYO102" s="64"/>
      <c r="PYP102" s="64"/>
      <c r="PYQ102" s="64"/>
      <c r="PYR102" s="64"/>
      <c r="PYS102" s="64"/>
      <c r="PYT102" s="64"/>
      <c r="PYU102" s="64"/>
      <c r="PYV102" s="64"/>
      <c r="PYW102" s="64"/>
      <c r="PYX102" s="64"/>
      <c r="PYY102" s="64"/>
      <c r="PYZ102" s="64"/>
      <c r="PZA102" s="64"/>
      <c r="PZB102" s="64"/>
      <c r="PZC102" s="64"/>
      <c r="PZD102" s="64"/>
      <c r="PZE102" s="64"/>
      <c r="PZF102" s="64"/>
      <c r="PZG102" s="64"/>
      <c r="PZH102" s="64"/>
      <c r="PZI102" s="64"/>
      <c r="PZJ102" s="64"/>
      <c r="PZK102" s="64"/>
      <c r="PZL102" s="64"/>
      <c r="PZM102" s="64"/>
      <c r="PZN102" s="64"/>
      <c r="PZO102" s="64"/>
      <c r="PZP102" s="64"/>
      <c r="PZQ102" s="64"/>
      <c r="PZR102" s="64"/>
      <c r="PZS102" s="64"/>
      <c r="PZT102" s="64"/>
      <c r="PZU102" s="64"/>
      <c r="PZV102" s="64"/>
      <c r="PZW102" s="64"/>
      <c r="PZX102" s="64"/>
      <c r="PZY102" s="64"/>
      <c r="PZZ102" s="64"/>
      <c r="QAA102" s="64"/>
      <c r="QAB102" s="64"/>
      <c r="QAC102" s="64"/>
      <c r="QAD102" s="64"/>
      <c r="QAE102" s="64"/>
      <c r="QAF102" s="64"/>
      <c r="QAG102" s="64"/>
      <c r="QAH102" s="64"/>
      <c r="QAI102" s="64"/>
      <c r="QAJ102" s="64"/>
      <c r="QAK102" s="64"/>
      <c r="QAL102" s="64"/>
      <c r="QAM102" s="64"/>
      <c r="QAN102" s="64"/>
      <c r="QAO102" s="64"/>
      <c r="QAP102" s="64"/>
      <c r="QAQ102" s="64"/>
      <c r="QAR102" s="64"/>
      <c r="QAS102" s="64"/>
      <c r="QAT102" s="64"/>
      <c r="QAU102" s="64"/>
      <c r="QAV102" s="64"/>
      <c r="QAW102" s="64"/>
      <c r="QAX102" s="64"/>
      <c r="QAY102" s="64"/>
      <c r="QAZ102" s="64"/>
      <c r="QBA102" s="64"/>
      <c r="QBB102" s="64"/>
      <c r="QBC102" s="64"/>
      <c r="QBD102" s="64"/>
      <c r="QBE102" s="64"/>
      <c r="QBF102" s="64"/>
      <c r="QBG102" s="64"/>
      <c r="QBH102" s="64"/>
      <c r="QBI102" s="64"/>
      <c r="QBJ102" s="64"/>
      <c r="QBK102" s="64"/>
      <c r="QBL102" s="64"/>
      <c r="QBM102" s="64"/>
      <c r="QBN102" s="64"/>
      <c r="QBO102" s="64"/>
      <c r="QBP102" s="64"/>
      <c r="QBQ102" s="64"/>
      <c r="QBR102" s="64"/>
      <c r="QBS102" s="64"/>
      <c r="QBT102" s="64"/>
      <c r="QBU102" s="64"/>
      <c r="QBV102" s="64"/>
      <c r="QBW102" s="64"/>
      <c r="QBX102" s="64"/>
      <c r="QBY102" s="64"/>
      <c r="QBZ102" s="64"/>
      <c r="QCA102" s="64"/>
      <c r="QCB102" s="64"/>
      <c r="QCC102" s="64"/>
      <c r="QCD102" s="64"/>
      <c r="QCE102" s="64"/>
      <c r="QCF102" s="64"/>
      <c r="QCG102" s="64"/>
      <c r="QCH102" s="64"/>
      <c r="QCI102" s="64"/>
      <c r="QCJ102" s="64"/>
      <c r="QCK102" s="64"/>
      <c r="QCL102" s="64"/>
      <c r="QCM102" s="64"/>
      <c r="QCN102" s="64"/>
      <c r="QCO102" s="64"/>
      <c r="QCP102" s="64"/>
      <c r="QCQ102" s="64"/>
      <c r="QCR102" s="64"/>
      <c r="QCS102" s="64"/>
      <c r="QCT102" s="64"/>
      <c r="QCU102" s="64"/>
      <c r="QCV102" s="64"/>
      <c r="QCW102" s="64"/>
      <c r="QCX102" s="64"/>
      <c r="QCY102" s="64"/>
      <c r="QCZ102" s="64"/>
      <c r="QDA102" s="64"/>
      <c r="QDB102" s="64"/>
      <c r="QDC102" s="64"/>
      <c r="QDD102" s="64"/>
      <c r="QDE102" s="64"/>
      <c r="QDF102" s="64"/>
      <c r="QDG102" s="64"/>
      <c r="QDH102" s="64"/>
      <c r="QDI102" s="64"/>
      <c r="QDJ102" s="64"/>
      <c r="QDK102" s="64"/>
      <c r="QDL102" s="64"/>
      <c r="QDM102" s="64"/>
      <c r="QDN102" s="64"/>
      <c r="QDO102" s="64"/>
      <c r="QDP102" s="64"/>
      <c r="QDQ102" s="64"/>
      <c r="QDR102" s="64"/>
      <c r="QDS102" s="64"/>
      <c r="QDT102" s="64"/>
      <c r="QDU102" s="64"/>
      <c r="QDV102" s="64"/>
      <c r="QDW102" s="64"/>
      <c r="QDX102" s="64"/>
      <c r="QDY102" s="64"/>
      <c r="QDZ102" s="64"/>
      <c r="QEA102" s="64"/>
      <c r="QEB102" s="64"/>
      <c r="QEC102" s="64"/>
      <c r="QED102" s="64"/>
      <c r="QEE102" s="64"/>
      <c r="QEF102" s="64"/>
      <c r="QEG102" s="64"/>
      <c r="QEH102" s="64"/>
      <c r="QEI102" s="64"/>
      <c r="QEJ102" s="64"/>
      <c r="QEK102" s="64"/>
      <c r="QEL102" s="64"/>
      <c r="QEM102" s="64"/>
      <c r="QEN102" s="64"/>
      <c r="QEO102" s="64"/>
      <c r="QEP102" s="64"/>
      <c r="QEQ102" s="64"/>
      <c r="QER102" s="64"/>
      <c r="QES102" s="64"/>
      <c r="QET102" s="64"/>
      <c r="QEU102" s="64"/>
      <c r="QEV102" s="64"/>
      <c r="QEW102" s="64"/>
      <c r="QEX102" s="64"/>
      <c r="QEY102" s="64"/>
      <c r="QEZ102" s="64"/>
      <c r="QFA102" s="64"/>
      <c r="QFB102" s="64"/>
      <c r="QFC102" s="64"/>
      <c r="QFD102" s="64"/>
      <c r="QFE102" s="64"/>
      <c r="QFF102" s="64"/>
      <c r="QFG102" s="64"/>
      <c r="QFH102" s="64"/>
      <c r="QFI102" s="64"/>
      <c r="QFJ102" s="64"/>
      <c r="QFK102" s="64"/>
      <c r="QFL102" s="64"/>
      <c r="QFM102" s="64"/>
      <c r="QFN102" s="64"/>
      <c r="QFO102" s="64"/>
      <c r="QFP102" s="64"/>
      <c r="QFQ102" s="64"/>
      <c r="QFR102" s="64"/>
      <c r="QFS102" s="64"/>
      <c r="QFT102" s="64"/>
      <c r="QFU102" s="64"/>
      <c r="QFV102" s="64"/>
      <c r="QFW102" s="64"/>
      <c r="QFX102" s="64"/>
      <c r="QFY102" s="64"/>
      <c r="QFZ102" s="64"/>
      <c r="QGA102" s="64"/>
      <c r="QGB102" s="64"/>
      <c r="QGC102" s="64"/>
      <c r="QGD102" s="64"/>
      <c r="QGE102" s="64"/>
      <c r="QGF102" s="64"/>
      <c r="QGG102" s="64"/>
      <c r="QGH102" s="64"/>
      <c r="QGI102" s="64"/>
      <c r="QGJ102" s="64"/>
      <c r="QGK102" s="64"/>
      <c r="QGL102" s="64"/>
      <c r="QGM102" s="64"/>
      <c r="QGN102" s="64"/>
      <c r="QGO102" s="64"/>
      <c r="QGP102" s="64"/>
      <c r="QGQ102" s="64"/>
      <c r="QGR102" s="64"/>
      <c r="QGS102" s="64"/>
      <c r="QGT102" s="64"/>
      <c r="QGU102" s="64"/>
      <c r="QGV102" s="64"/>
      <c r="QGW102" s="64"/>
      <c r="QGX102" s="64"/>
      <c r="QGY102" s="64"/>
      <c r="QGZ102" s="64"/>
      <c r="QHA102" s="64"/>
      <c r="QHB102" s="64"/>
      <c r="QHC102" s="64"/>
      <c r="QHD102" s="64"/>
      <c r="QHK102" s="64"/>
      <c r="QHL102" s="64"/>
      <c r="QHM102" s="64"/>
      <c r="QHN102" s="64"/>
      <c r="QHO102" s="64"/>
      <c r="QHP102" s="64"/>
      <c r="QHQ102" s="64"/>
      <c r="QHR102" s="64"/>
      <c r="QHS102" s="64"/>
      <c r="QHT102" s="64"/>
      <c r="QHU102" s="64"/>
      <c r="QHV102" s="64"/>
      <c r="QHW102" s="64"/>
      <c r="QHX102" s="64"/>
      <c r="QHY102" s="64"/>
      <c r="QHZ102" s="64"/>
      <c r="QIA102" s="64"/>
      <c r="QIB102" s="64"/>
      <c r="QIC102" s="64"/>
      <c r="QID102" s="64"/>
      <c r="QIE102" s="64"/>
      <c r="QIF102" s="64"/>
      <c r="QIG102" s="64"/>
      <c r="QIH102" s="64"/>
      <c r="QII102" s="64"/>
      <c r="QIJ102" s="64"/>
      <c r="QIK102" s="64"/>
      <c r="QIL102" s="64"/>
      <c r="QIM102" s="64"/>
      <c r="QIN102" s="64"/>
      <c r="QIO102" s="64"/>
      <c r="QIP102" s="64"/>
      <c r="QIQ102" s="64"/>
      <c r="QIR102" s="64"/>
      <c r="QIS102" s="64"/>
      <c r="QIT102" s="64"/>
      <c r="QIU102" s="64"/>
      <c r="QIV102" s="64"/>
      <c r="QIW102" s="64"/>
      <c r="QIX102" s="64"/>
      <c r="QIY102" s="64"/>
      <c r="QIZ102" s="64"/>
      <c r="QJA102" s="64"/>
      <c r="QJB102" s="64"/>
      <c r="QJC102" s="64"/>
      <c r="QJD102" s="64"/>
      <c r="QJE102" s="64"/>
      <c r="QJF102" s="64"/>
      <c r="QJG102" s="64"/>
      <c r="QJH102" s="64"/>
      <c r="QJI102" s="64"/>
      <c r="QJJ102" s="64"/>
      <c r="QJK102" s="64"/>
      <c r="QJL102" s="64"/>
      <c r="QJM102" s="64"/>
      <c r="QJN102" s="64"/>
      <c r="QJO102" s="64"/>
      <c r="QJP102" s="64"/>
      <c r="QJQ102" s="64"/>
      <c r="QJR102" s="64"/>
      <c r="QJS102" s="64"/>
      <c r="QJT102" s="64"/>
      <c r="QJU102" s="64"/>
      <c r="QJV102" s="64"/>
      <c r="QJW102" s="64"/>
      <c r="QJX102" s="64"/>
      <c r="QJY102" s="64"/>
      <c r="QJZ102" s="64"/>
      <c r="QKA102" s="64"/>
      <c r="QKB102" s="64"/>
      <c r="QKC102" s="64"/>
      <c r="QKD102" s="64"/>
      <c r="QKE102" s="64"/>
      <c r="QKF102" s="64"/>
      <c r="QKG102" s="64"/>
      <c r="QKH102" s="64"/>
      <c r="QKI102" s="64"/>
      <c r="QKJ102" s="64"/>
      <c r="QKK102" s="64"/>
      <c r="QKL102" s="64"/>
      <c r="QKM102" s="64"/>
      <c r="QKN102" s="64"/>
      <c r="QKO102" s="64"/>
      <c r="QKP102" s="64"/>
      <c r="QKQ102" s="64"/>
      <c r="QKR102" s="64"/>
      <c r="QKS102" s="64"/>
      <c r="QKT102" s="64"/>
      <c r="QKU102" s="64"/>
      <c r="QKV102" s="64"/>
      <c r="QKW102" s="64"/>
      <c r="QKX102" s="64"/>
      <c r="QKY102" s="64"/>
      <c r="QKZ102" s="64"/>
      <c r="QLA102" s="64"/>
      <c r="QLB102" s="64"/>
      <c r="QLC102" s="64"/>
      <c r="QLD102" s="64"/>
      <c r="QLE102" s="64"/>
      <c r="QLF102" s="64"/>
      <c r="QLG102" s="64"/>
      <c r="QLH102" s="64"/>
      <c r="QLI102" s="64"/>
      <c r="QLJ102" s="64"/>
      <c r="QLK102" s="64"/>
      <c r="QLL102" s="64"/>
      <c r="QLM102" s="64"/>
      <c r="QLN102" s="64"/>
      <c r="QLO102" s="64"/>
      <c r="QLP102" s="64"/>
      <c r="QLQ102" s="64"/>
      <c r="QLR102" s="64"/>
      <c r="QLS102" s="64"/>
      <c r="QLT102" s="64"/>
      <c r="QLU102" s="64"/>
      <c r="QLV102" s="64"/>
      <c r="QLW102" s="64"/>
      <c r="QLX102" s="64"/>
      <c r="QLY102" s="64"/>
      <c r="QLZ102" s="64"/>
      <c r="QMA102" s="64"/>
      <c r="QMB102" s="64"/>
      <c r="QMC102" s="64"/>
      <c r="QMD102" s="64"/>
      <c r="QME102" s="64"/>
      <c r="QMF102" s="64"/>
      <c r="QMG102" s="64"/>
      <c r="QMH102" s="64"/>
      <c r="QMI102" s="64"/>
      <c r="QMJ102" s="64"/>
      <c r="QMK102" s="64"/>
      <c r="QML102" s="64"/>
      <c r="QMM102" s="64"/>
      <c r="QMN102" s="64"/>
      <c r="QMO102" s="64"/>
      <c r="QMP102" s="64"/>
      <c r="QMQ102" s="64"/>
      <c r="QMR102" s="64"/>
      <c r="QMS102" s="64"/>
      <c r="QMT102" s="64"/>
      <c r="QMU102" s="64"/>
      <c r="QMV102" s="64"/>
      <c r="QMW102" s="64"/>
      <c r="QMX102" s="64"/>
      <c r="QMY102" s="64"/>
      <c r="QMZ102" s="64"/>
      <c r="QNA102" s="64"/>
      <c r="QNB102" s="64"/>
      <c r="QNC102" s="64"/>
      <c r="QND102" s="64"/>
      <c r="QNE102" s="64"/>
      <c r="QNF102" s="64"/>
      <c r="QNG102" s="64"/>
      <c r="QNH102" s="64"/>
      <c r="QNI102" s="64"/>
      <c r="QNJ102" s="64"/>
      <c r="QNK102" s="64"/>
      <c r="QNL102" s="64"/>
      <c r="QNM102" s="64"/>
      <c r="QNN102" s="64"/>
      <c r="QNO102" s="64"/>
      <c r="QNP102" s="64"/>
      <c r="QNQ102" s="64"/>
      <c r="QNR102" s="64"/>
      <c r="QNS102" s="64"/>
      <c r="QNT102" s="64"/>
      <c r="QNU102" s="64"/>
      <c r="QNV102" s="64"/>
      <c r="QNW102" s="64"/>
      <c r="QNX102" s="64"/>
      <c r="QNY102" s="64"/>
      <c r="QNZ102" s="64"/>
      <c r="QOA102" s="64"/>
      <c r="QOB102" s="64"/>
      <c r="QOC102" s="64"/>
      <c r="QOD102" s="64"/>
      <c r="QOE102" s="64"/>
      <c r="QOF102" s="64"/>
      <c r="QOG102" s="64"/>
      <c r="QOH102" s="64"/>
      <c r="QOI102" s="64"/>
      <c r="QOJ102" s="64"/>
      <c r="QOK102" s="64"/>
      <c r="QOL102" s="64"/>
      <c r="QOM102" s="64"/>
      <c r="QON102" s="64"/>
      <c r="QOO102" s="64"/>
      <c r="QOP102" s="64"/>
      <c r="QOQ102" s="64"/>
      <c r="QOR102" s="64"/>
      <c r="QOS102" s="64"/>
      <c r="QOT102" s="64"/>
      <c r="QOU102" s="64"/>
      <c r="QOV102" s="64"/>
      <c r="QOW102" s="64"/>
      <c r="QOX102" s="64"/>
      <c r="QOY102" s="64"/>
      <c r="QOZ102" s="64"/>
      <c r="QPA102" s="64"/>
      <c r="QPB102" s="64"/>
      <c r="QPC102" s="64"/>
      <c r="QPD102" s="64"/>
      <c r="QPE102" s="64"/>
      <c r="QPF102" s="64"/>
      <c r="QPG102" s="64"/>
      <c r="QPH102" s="64"/>
      <c r="QPI102" s="64"/>
      <c r="QPJ102" s="64"/>
      <c r="QPK102" s="64"/>
      <c r="QPL102" s="64"/>
      <c r="QPM102" s="64"/>
      <c r="QPN102" s="64"/>
      <c r="QPO102" s="64"/>
      <c r="QPP102" s="64"/>
      <c r="QPQ102" s="64"/>
      <c r="QPR102" s="64"/>
      <c r="QPS102" s="64"/>
      <c r="QPT102" s="64"/>
      <c r="QPU102" s="64"/>
      <c r="QPV102" s="64"/>
      <c r="QPW102" s="64"/>
      <c r="QPX102" s="64"/>
      <c r="QPY102" s="64"/>
      <c r="QPZ102" s="64"/>
      <c r="QQA102" s="64"/>
      <c r="QQB102" s="64"/>
      <c r="QQC102" s="64"/>
      <c r="QQD102" s="64"/>
      <c r="QQE102" s="64"/>
      <c r="QQF102" s="64"/>
      <c r="QQG102" s="64"/>
      <c r="QQH102" s="64"/>
      <c r="QQI102" s="64"/>
      <c r="QQJ102" s="64"/>
      <c r="QQK102" s="64"/>
      <c r="QQL102" s="64"/>
      <c r="QQM102" s="64"/>
      <c r="QQN102" s="64"/>
      <c r="QQO102" s="64"/>
      <c r="QQP102" s="64"/>
      <c r="QQQ102" s="64"/>
      <c r="QQR102" s="64"/>
      <c r="QQS102" s="64"/>
      <c r="QQT102" s="64"/>
      <c r="QQU102" s="64"/>
      <c r="QQV102" s="64"/>
      <c r="QQW102" s="64"/>
      <c r="QQX102" s="64"/>
      <c r="QQY102" s="64"/>
      <c r="QQZ102" s="64"/>
      <c r="QRG102" s="64"/>
      <c r="QRH102" s="64"/>
      <c r="QRI102" s="64"/>
      <c r="QRJ102" s="64"/>
      <c r="QRK102" s="64"/>
      <c r="QRL102" s="64"/>
      <c r="QRM102" s="64"/>
      <c r="QRN102" s="64"/>
      <c r="QRO102" s="64"/>
      <c r="QRP102" s="64"/>
      <c r="QRQ102" s="64"/>
      <c r="QRR102" s="64"/>
      <c r="QRS102" s="64"/>
      <c r="QRT102" s="64"/>
      <c r="QRU102" s="64"/>
      <c r="QRV102" s="64"/>
      <c r="QRW102" s="64"/>
      <c r="QRX102" s="64"/>
      <c r="QRY102" s="64"/>
      <c r="QRZ102" s="64"/>
      <c r="QSA102" s="64"/>
      <c r="QSB102" s="64"/>
      <c r="QSC102" s="64"/>
      <c r="QSD102" s="64"/>
      <c r="QSE102" s="64"/>
      <c r="QSF102" s="64"/>
      <c r="QSG102" s="64"/>
      <c r="QSH102" s="64"/>
      <c r="QSI102" s="64"/>
      <c r="QSJ102" s="64"/>
      <c r="QSK102" s="64"/>
      <c r="QSL102" s="64"/>
      <c r="QSM102" s="64"/>
      <c r="QSN102" s="64"/>
      <c r="QSO102" s="64"/>
      <c r="QSP102" s="64"/>
      <c r="QSQ102" s="64"/>
      <c r="QSR102" s="64"/>
      <c r="QSS102" s="64"/>
      <c r="QST102" s="64"/>
      <c r="QSU102" s="64"/>
      <c r="QSV102" s="64"/>
      <c r="QSW102" s="64"/>
      <c r="QSX102" s="64"/>
      <c r="QSY102" s="64"/>
      <c r="QSZ102" s="64"/>
      <c r="QTA102" s="64"/>
      <c r="QTB102" s="64"/>
      <c r="QTC102" s="64"/>
      <c r="QTD102" s="64"/>
      <c r="QTE102" s="64"/>
      <c r="QTF102" s="64"/>
      <c r="QTG102" s="64"/>
      <c r="QTH102" s="64"/>
      <c r="QTI102" s="64"/>
      <c r="QTJ102" s="64"/>
      <c r="QTK102" s="64"/>
      <c r="QTL102" s="64"/>
      <c r="QTM102" s="64"/>
      <c r="QTN102" s="64"/>
      <c r="QTO102" s="64"/>
      <c r="QTP102" s="64"/>
      <c r="QTQ102" s="64"/>
      <c r="QTR102" s="64"/>
      <c r="QTS102" s="64"/>
      <c r="QTT102" s="64"/>
      <c r="QTU102" s="64"/>
      <c r="QTV102" s="64"/>
      <c r="QTW102" s="64"/>
      <c r="QTX102" s="64"/>
      <c r="QTY102" s="64"/>
      <c r="QTZ102" s="64"/>
      <c r="QUA102" s="64"/>
      <c r="QUB102" s="64"/>
      <c r="QUC102" s="64"/>
      <c r="QUD102" s="64"/>
      <c r="QUE102" s="64"/>
      <c r="QUF102" s="64"/>
      <c r="QUG102" s="64"/>
      <c r="QUH102" s="64"/>
      <c r="QUI102" s="64"/>
      <c r="QUJ102" s="64"/>
      <c r="QUK102" s="64"/>
      <c r="QUL102" s="64"/>
      <c r="QUM102" s="64"/>
      <c r="QUN102" s="64"/>
      <c r="QUO102" s="64"/>
      <c r="QUP102" s="64"/>
      <c r="QUQ102" s="64"/>
      <c r="QUR102" s="64"/>
      <c r="QUS102" s="64"/>
      <c r="QUT102" s="64"/>
      <c r="QUU102" s="64"/>
      <c r="QUV102" s="64"/>
      <c r="QUW102" s="64"/>
      <c r="QUX102" s="64"/>
      <c r="QUY102" s="64"/>
      <c r="QUZ102" s="64"/>
      <c r="QVA102" s="64"/>
      <c r="QVB102" s="64"/>
      <c r="QVC102" s="64"/>
      <c r="QVD102" s="64"/>
      <c r="QVE102" s="64"/>
      <c r="QVF102" s="64"/>
      <c r="QVG102" s="64"/>
      <c r="QVH102" s="64"/>
      <c r="QVI102" s="64"/>
      <c r="QVJ102" s="64"/>
      <c r="QVK102" s="64"/>
      <c r="QVL102" s="64"/>
      <c r="QVM102" s="64"/>
      <c r="QVN102" s="64"/>
      <c r="QVO102" s="64"/>
      <c r="QVP102" s="64"/>
      <c r="QVQ102" s="64"/>
      <c r="QVR102" s="64"/>
      <c r="QVS102" s="64"/>
      <c r="QVT102" s="64"/>
      <c r="QVU102" s="64"/>
      <c r="QVV102" s="64"/>
      <c r="QVW102" s="64"/>
      <c r="QVX102" s="64"/>
      <c r="QVY102" s="64"/>
      <c r="QVZ102" s="64"/>
      <c r="QWA102" s="64"/>
      <c r="QWB102" s="64"/>
      <c r="QWC102" s="64"/>
      <c r="QWD102" s="64"/>
      <c r="QWE102" s="64"/>
      <c r="QWF102" s="64"/>
      <c r="QWG102" s="64"/>
      <c r="QWH102" s="64"/>
      <c r="QWI102" s="64"/>
      <c r="QWJ102" s="64"/>
      <c r="QWK102" s="64"/>
      <c r="QWL102" s="64"/>
      <c r="QWM102" s="64"/>
      <c r="QWN102" s="64"/>
      <c r="QWO102" s="64"/>
      <c r="QWP102" s="64"/>
      <c r="QWQ102" s="64"/>
      <c r="QWR102" s="64"/>
      <c r="QWS102" s="64"/>
      <c r="QWT102" s="64"/>
      <c r="QWU102" s="64"/>
      <c r="QWV102" s="64"/>
      <c r="QWW102" s="64"/>
      <c r="QWX102" s="64"/>
      <c r="QWY102" s="64"/>
      <c r="QWZ102" s="64"/>
      <c r="QXA102" s="64"/>
      <c r="QXB102" s="64"/>
      <c r="QXC102" s="64"/>
      <c r="QXD102" s="64"/>
      <c r="QXE102" s="64"/>
      <c r="QXF102" s="64"/>
      <c r="QXG102" s="64"/>
      <c r="QXH102" s="64"/>
      <c r="QXI102" s="64"/>
      <c r="QXJ102" s="64"/>
      <c r="QXK102" s="64"/>
      <c r="QXL102" s="64"/>
      <c r="QXM102" s="64"/>
      <c r="QXN102" s="64"/>
      <c r="QXO102" s="64"/>
      <c r="QXP102" s="64"/>
      <c r="QXQ102" s="64"/>
      <c r="QXR102" s="64"/>
      <c r="QXS102" s="64"/>
      <c r="QXT102" s="64"/>
      <c r="QXU102" s="64"/>
      <c r="QXV102" s="64"/>
      <c r="QXW102" s="64"/>
      <c r="QXX102" s="64"/>
      <c r="QXY102" s="64"/>
      <c r="QXZ102" s="64"/>
      <c r="QYA102" s="64"/>
      <c r="QYB102" s="64"/>
      <c r="QYC102" s="64"/>
      <c r="QYD102" s="64"/>
      <c r="QYE102" s="64"/>
      <c r="QYF102" s="64"/>
      <c r="QYG102" s="64"/>
      <c r="QYH102" s="64"/>
      <c r="QYI102" s="64"/>
      <c r="QYJ102" s="64"/>
      <c r="QYK102" s="64"/>
      <c r="QYL102" s="64"/>
      <c r="QYM102" s="64"/>
      <c r="QYN102" s="64"/>
      <c r="QYO102" s="64"/>
      <c r="QYP102" s="64"/>
      <c r="QYQ102" s="64"/>
      <c r="QYR102" s="64"/>
      <c r="QYS102" s="64"/>
      <c r="QYT102" s="64"/>
      <c r="QYU102" s="64"/>
      <c r="QYV102" s="64"/>
      <c r="QYW102" s="64"/>
      <c r="QYX102" s="64"/>
      <c r="QYY102" s="64"/>
      <c r="QYZ102" s="64"/>
      <c r="QZA102" s="64"/>
      <c r="QZB102" s="64"/>
      <c r="QZC102" s="64"/>
      <c r="QZD102" s="64"/>
      <c r="QZE102" s="64"/>
      <c r="QZF102" s="64"/>
      <c r="QZG102" s="64"/>
      <c r="QZH102" s="64"/>
      <c r="QZI102" s="64"/>
      <c r="QZJ102" s="64"/>
      <c r="QZK102" s="64"/>
      <c r="QZL102" s="64"/>
      <c r="QZM102" s="64"/>
      <c r="QZN102" s="64"/>
      <c r="QZO102" s="64"/>
      <c r="QZP102" s="64"/>
      <c r="QZQ102" s="64"/>
      <c r="QZR102" s="64"/>
      <c r="QZS102" s="64"/>
      <c r="QZT102" s="64"/>
      <c r="QZU102" s="64"/>
      <c r="QZV102" s="64"/>
      <c r="QZW102" s="64"/>
      <c r="QZX102" s="64"/>
      <c r="QZY102" s="64"/>
      <c r="QZZ102" s="64"/>
      <c r="RAA102" s="64"/>
      <c r="RAB102" s="64"/>
      <c r="RAC102" s="64"/>
      <c r="RAD102" s="64"/>
      <c r="RAE102" s="64"/>
      <c r="RAF102" s="64"/>
      <c r="RAG102" s="64"/>
      <c r="RAH102" s="64"/>
      <c r="RAI102" s="64"/>
      <c r="RAJ102" s="64"/>
      <c r="RAK102" s="64"/>
      <c r="RAL102" s="64"/>
      <c r="RAM102" s="64"/>
      <c r="RAN102" s="64"/>
      <c r="RAO102" s="64"/>
      <c r="RAP102" s="64"/>
      <c r="RAQ102" s="64"/>
      <c r="RAR102" s="64"/>
      <c r="RAS102" s="64"/>
      <c r="RAT102" s="64"/>
      <c r="RAU102" s="64"/>
      <c r="RAV102" s="64"/>
      <c r="RBC102" s="64"/>
      <c r="RBD102" s="64"/>
      <c r="RBE102" s="64"/>
      <c r="RBF102" s="64"/>
      <c r="RBG102" s="64"/>
      <c r="RBH102" s="64"/>
      <c r="RBI102" s="64"/>
      <c r="RBJ102" s="64"/>
      <c r="RBK102" s="64"/>
      <c r="RBL102" s="64"/>
      <c r="RBM102" s="64"/>
      <c r="RBN102" s="64"/>
      <c r="RBO102" s="64"/>
      <c r="RBP102" s="64"/>
      <c r="RBQ102" s="64"/>
      <c r="RBR102" s="64"/>
      <c r="RBS102" s="64"/>
      <c r="RBT102" s="64"/>
      <c r="RBU102" s="64"/>
      <c r="RBV102" s="64"/>
      <c r="RBW102" s="64"/>
      <c r="RBX102" s="64"/>
      <c r="RBY102" s="64"/>
      <c r="RBZ102" s="64"/>
      <c r="RCA102" s="64"/>
      <c r="RCB102" s="64"/>
      <c r="RCC102" s="64"/>
      <c r="RCD102" s="64"/>
      <c r="RCE102" s="64"/>
      <c r="RCF102" s="64"/>
      <c r="RCG102" s="64"/>
      <c r="RCH102" s="64"/>
      <c r="RCI102" s="64"/>
      <c r="RCJ102" s="64"/>
      <c r="RCK102" s="64"/>
      <c r="RCL102" s="64"/>
      <c r="RCM102" s="64"/>
      <c r="RCN102" s="64"/>
      <c r="RCO102" s="64"/>
      <c r="RCP102" s="64"/>
      <c r="RCQ102" s="64"/>
      <c r="RCR102" s="64"/>
      <c r="RCS102" s="64"/>
      <c r="RCT102" s="64"/>
      <c r="RCU102" s="64"/>
      <c r="RCV102" s="64"/>
      <c r="RCW102" s="64"/>
      <c r="RCX102" s="64"/>
      <c r="RCY102" s="64"/>
      <c r="RCZ102" s="64"/>
      <c r="RDA102" s="64"/>
      <c r="RDB102" s="64"/>
      <c r="RDC102" s="64"/>
      <c r="RDD102" s="64"/>
      <c r="RDE102" s="64"/>
      <c r="RDF102" s="64"/>
      <c r="RDG102" s="64"/>
      <c r="RDH102" s="64"/>
      <c r="RDI102" s="64"/>
      <c r="RDJ102" s="64"/>
      <c r="RDK102" s="64"/>
      <c r="RDL102" s="64"/>
      <c r="RDM102" s="64"/>
      <c r="RDN102" s="64"/>
      <c r="RDO102" s="64"/>
      <c r="RDP102" s="64"/>
      <c r="RDQ102" s="64"/>
      <c r="RDR102" s="64"/>
      <c r="RDS102" s="64"/>
      <c r="RDT102" s="64"/>
      <c r="RDU102" s="64"/>
      <c r="RDV102" s="64"/>
      <c r="RDW102" s="64"/>
      <c r="RDX102" s="64"/>
      <c r="RDY102" s="64"/>
      <c r="RDZ102" s="64"/>
      <c r="REA102" s="64"/>
      <c r="REB102" s="64"/>
      <c r="REC102" s="64"/>
      <c r="RED102" s="64"/>
      <c r="REE102" s="64"/>
      <c r="REF102" s="64"/>
      <c r="REG102" s="64"/>
      <c r="REH102" s="64"/>
      <c r="REI102" s="64"/>
      <c r="REJ102" s="64"/>
      <c r="REK102" s="64"/>
      <c r="REL102" s="64"/>
      <c r="REM102" s="64"/>
      <c r="REN102" s="64"/>
      <c r="REO102" s="64"/>
      <c r="REP102" s="64"/>
      <c r="REQ102" s="64"/>
      <c r="RER102" s="64"/>
      <c r="RES102" s="64"/>
      <c r="RET102" s="64"/>
      <c r="REU102" s="64"/>
      <c r="REV102" s="64"/>
      <c r="REW102" s="64"/>
      <c r="REX102" s="64"/>
      <c r="REY102" s="64"/>
      <c r="REZ102" s="64"/>
      <c r="RFA102" s="64"/>
      <c r="RFB102" s="64"/>
      <c r="RFC102" s="64"/>
      <c r="RFD102" s="64"/>
      <c r="RFE102" s="64"/>
      <c r="RFF102" s="64"/>
      <c r="RFG102" s="64"/>
      <c r="RFH102" s="64"/>
      <c r="RFI102" s="64"/>
      <c r="RFJ102" s="64"/>
      <c r="RFK102" s="64"/>
      <c r="RFL102" s="64"/>
      <c r="RFM102" s="64"/>
      <c r="RFN102" s="64"/>
      <c r="RFO102" s="64"/>
      <c r="RFP102" s="64"/>
      <c r="RFQ102" s="64"/>
      <c r="RFR102" s="64"/>
      <c r="RFS102" s="64"/>
      <c r="RFT102" s="64"/>
      <c r="RFU102" s="64"/>
      <c r="RFV102" s="64"/>
      <c r="RFW102" s="64"/>
      <c r="RFX102" s="64"/>
      <c r="RFY102" s="64"/>
      <c r="RFZ102" s="64"/>
      <c r="RGA102" s="64"/>
      <c r="RGB102" s="64"/>
      <c r="RGC102" s="64"/>
      <c r="RGD102" s="64"/>
      <c r="RGE102" s="64"/>
      <c r="RGF102" s="64"/>
      <c r="RGG102" s="64"/>
      <c r="RGH102" s="64"/>
      <c r="RGI102" s="64"/>
      <c r="RGJ102" s="64"/>
      <c r="RGK102" s="64"/>
      <c r="RGL102" s="64"/>
      <c r="RGM102" s="64"/>
      <c r="RGN102" s="64"/>
      <c r="RGO102" s="64"/>
      <c r="RGP102" s="64"/>
      <c r="RGQ102" s="64"/>
      <c r="RGR102" s="64"/>
      <c r="RGS102" s="64"/>
      <c r="RGT102" s="64"/>
      <c r="RGU102" s="64"/>
      <c r="RGV102" s="64"/>
      <c r="RGW102" s="64"/>
      <c r="RGX102" s="64"/>
      <c r="RGY102" s="64"/>
      <c r="RGZ102" s="64"/>
      <c r="RHA102" s="64"/>
      <c r="RHB102" s="64"/>
      <c r="RHC102" s="64"/>
      <c r="RHD102" s="64"/>
      <c r="RHE102" s="64"/>
      <c r="RHF102" s="64"/>
      <c r="RHG102" s="64"/>
      <c r="RHH102" s="64"/>
      <c r="RHI102" s="64"/>
      <c r="RHJ102" s="64"/>
      <c r="RHK102" s="64"/>
      <c r="RHL102" s="64"/>
      <c r="RHM102" s="64"/>
      <c r="RHN102" s="64"/>
      <c r="RHO102" s="64"/>
      <c r="RHP102" s="64"/>
      <c r="RHQ102" s="64"/>
      <c r="RHR102" s="64"/>
      <c r="RHS102" s="64"/>
      <c r="RHT102" s="64"/>
      <c r="RHU102" s="64"/>
      <c r="RHV102" s="64"/>
      <c r="RHW102" s="64"/>
      <c r="RHX102" s="64"/>
      <c r="RHY102" s="64"/>
      <c r="RHZ102" s="64"/>
      <c r="RIA102" s="64"/>
      <c r="RIB102" s="64"/>
      <c r="RIC102" s="64"/>
      <c r="RID102" s="64"/>
      <c r="RIE102" s="64"/>
      <c r="RIF102" s="64"/>
      <c r="RIG102" s="64"/>
      <c r="RIH102" s="64"/>
      <c r="RII102" s="64"/>
      <c r="RIJ102" s="64"/>
      <c r="RIK102" s="64"/>
      <c r="RIL102" s="64"/>
      <c r="RIM102" s="64"/>
      <c r="RIN102" s="64"/>
      <c r="RIO102" s="64"/>
      <c r="RIP102" s="64"/>
      <c r="RIQ102" s="64"/>
      <c r="RIR102" s="64"/>
      <c r="RIS102" s="64"/>
      <c r="RIT102" s="64"/>
      <c r="RIU102" s="64"/>
      <c r="RIV102" s="64"/>
      <c r="RIW102" s="64"/>
      <c r="RIX102" s="64"/>
      <c r="RIY102" s="64"/>
      <c r="RIZ102" s="64"/>
      <c r="RJA102" s="64"/>
      <c r="RJB102" s="64"/>
      <c r="RJC102" s="64"/>
      <c r="RJD102" s="64"/>
      <c r="RJE102" s="64"/>
      <c r="RJF102" s="64"/>
      <c r="RJG102" s="64"/>
      <c r="RJH102" s="64"/>
      <c r="RJI102" s="64"/>
      <c r="RJJ102" s="64"/>
      <c r="RJK102" s="64"/>
      <c r="RJL102" s="64"/>
      <c r="RJM102" s="64"/>
      <c r="RJN102" s="64"/>
      <c r="RJO102" s="64"/>
      <c r="RJP102" s="64"/>
      <c r="RJQ102" s="64"/>
      <c r="RJR102" s="64"/>
      <c r="RJS102" s="64"/>
      <c r="RJT102" s="64"/>
      <c r="RJU102" s="64"/>
      <c r="RJV102" s="64"/>
      <c r="RJW102" s="64"/>
      <c r="RJX102" s="64"/>
      <c r="RJY102" s="64"/>
      <c r="RJZ102" s="64"/>
      <c r="RKA102" s="64"/>
      <c r="RKB102" s="64"/>
      <c r="RKC102" s="64"/>
      <c r="RKD102" s="64"/>
      <c r="RKE102" s="64"/>
      <c r="RKF102" s="64"/>
      <c r="RKG102" s="64"/>
      <c r="RKH102" s="64"/>
      <c r="RKI102" s="64"/>
      <c r="RKJ102" s="64"/>
      <c r="RKK102" s="64"/>
      <c r="RKL102" s="64"/>
      <c r="RKM102" s="64"/>
      <c r="RKN102" s="64"/>
      <c r="RKO102" s="64"/>
      <c r="RKP102" s="64"/>
      <c r="RKQ102" s="64"/>
      <c r="RKR102" s="64"/>
      <c r="RKY102" s="64"/>
      <c r="RKZ102" s="64"/>
      <c r="RLA102" s="64"/>
      <c r="RLB102" s="64"/>
      <c r="RLC102" s="64"/>
      <c r="RLD102" s="64"/>
      <c r="RLE102" s="64"/>
      <c r="RLF102" s="64"/>
      <c r="RLG102" s="64"/>
      <c r="RLH102" s="64"/>
      <c r="RLI102" s="64"/>
      <c r="RLJ102" s="64"/>
      <c r="RLK102" s="64"/>
      <c r="RLL102" s="64"/>
      <c r="RLM102" s="64"/>
      <c r="RLN102" s="64"/>
      <c r="RLO102" s="64"/>
      <c r="RLP102" s="64"/>
      <c r="RLQ102" s="64"/>
      <c r="RLR102" s="64"/>
      <c r="RLS102" s="64"/>
      <c r="RLT102" s="64"/>
      <c r="RLU102" s="64"/>
      <c r="RLV102" s="64"/>
      <c r="RLW102" s="64"/>
      <c r="RLX102" s="64"/>
      <c r="RLY102" s="64"/>
      <c r="RLZ102" s="64"/>
      <c r="RMA102" s="64"/>
      <c r="RMB102" s="64"/>
      <c r="RMC102" s="64"/>
      <c r="RMD102" s="64"/>
      <c r="RME102" s="64"/>
      <c r="RMF102" s="64"/>
      <c r="RMG102" s="64"/>
      <c r="RMH102" s="64"/>
      <c r="RMI102" s="64"/>
      <c r="RMJ102" s="64"/>
      <c r="RMK102" s="64"/>
      <c r="RML102" s="64"/>
      <c r="RMM102" s="64"/>
      <c r="RMN102" s="64"/>
      <c r="RMO102" s="64"/>
      <c r="RMP102" s="64"/>
      <c r="RMQ102" s="64"/>
      <c r="RMR102" s="64"/>
      <c r="RMS102" s="64"/>
      <c r="RMT102" s="64"/>
      <c r="RMU102" s="64"/>
      <c r="RMV102" s="64"/>
      <c r="RMW102" s="64"/>
      <c r="RMX102" s="64"/>
      <c r="RMY102" s="64"/>
      <c r="RMZ102" s="64"/>
      <c r="RNA102" s="64"/>
      <c r="RNB102" s="64"/>
      <c r="RNC102" s="64"/>
      <c r="RND102" s="64"/>
      <c r="RNE102" s="64"/>
      <c r="RNF102" s="64"/>
      <c r="RNG102" s="64"/>
      <c r="RNH102" s="64"/>
      <c r="RNI102" s="64"/>
      <c r="RNJ102" s="64"/>
      <c r="RNK102" s="64"/>
      <c r="RNL102" s="64"/>
      <c r="RNM102" s="64"/>
      <c r="RNN102" s="64"/>
      <c r="RNO102" s="64"/>
      <c r="RNP102" s="64"/>
      <c r="RNQ102" s="64"/>
      <c r="RNR102" s="64"/>
      <c r="RNS102" s="64"/>
      <c r="RNT102" s="64"/>
      <c r="RNU102" s="64"/>
      <c r="RNV102" s="64"/>
      <c r="RNW102" s="64"/>
      <c r="RNX102" s="64"/>
      <c r="RNY102" s="64"/>
      <c r="RNZ102" s="64"/>
      <c r="ROA102" s="64"/>
      <c r="ROB102" s="64"/>
      <c r="ROC102" s="64"/>
      <c r="ROD102" s="64"/>
      <c r="ROE102" s="64"/>
      <c r="ROF102" s="64"/>
      <c r="ROG102" s="64"/>
      <c r="ROH102" s="64"/>
      <c r="ROI102" s="64"/>
      <c r="ROJ102" s="64"/>
      <c r="ROK102" s="64"/>
      <c r="ROL102" s="64"/>
      <c r="ROM102" s="64"/>
      <c r="RON102" s="64"/>
      <c r="ROO102" s="64"/>
      <c r="ROP102" s="64"/>
      <c r="ROQ102" s="64"/>
      <c r="ROR102" s="64"/>
      <c r="ROS102" s="64"/>
      <c r="ROT102" s="64"/>
      <c r="ROU102" s="64"/>
      <c r="ROV102" s="64"/>
      <c r="ROW102" s="64"/>
      <c r="ROX102" s="64"/>
      <c r="ROY102" s="64"/>
      <c r="ROZ102" s="64"/>
      <c r="RPA102" s="64"/>
      <c r="RPB102" s="64"/>
      <c r="RPC102" s="64"/>
      <c r="RPD102" s="64"/>
      <c r="RPE102" s="64"/>
      <c r="RPF102" s="64"/>
      <c r="RPG102" s="64"/>
      <c r="RPH102" s="64"/>
      <c r="RPI102" s="64"/>
      <c r="RPJ102" s="64"/>
      <c r="RPK102" s="64"/>
      <c r="RPL102" s="64"/>
      <c r="RPM102" s="64"/>
      <c r="RPN102" s="64"/>
      <c r="RPO102" s="64"/>
      <c r="RPP102" s="64"/>
      <c r="RPQ102" s="64"/>
      <c r="RPR102" s="64"/>
      <c r="RPS102" s="64"/>
      <c r="RPT102" s="64"/>
      <c r="RPU102" s="64"/>
      <c r="RPV102" s="64"/>
      <c r="RPW102" s="64"/>
      <c r="RPX102" s="64"/>
      <c r="RPY102" s="64"/>
      <c r="RPZ102" s="64"/>
      <c r="RQA102" s="64"/>
      <c r="RQB102" s="64"/>
      <c r="RQC102" s="64"/>
      <c r="RQD102" s="64"/>
      <c r="RQE102" s="64"/>
      <c r="RQF102" s="64"/>
      <c r="RQG102" s="64"/>
      <c r="RQH102" s="64"/>
      <c r="RQI102" s="64"/>
      <c r="RQJ102" s="64"/>
      <c r="RQK102" s="64"/>
      <c r="RQL102" s="64"/>
      <c r="RQM102" s="64"/>
      <c r="RQN102" s="64"/>
      <c r="RQO102" s="64"/>
      <c r="RQP102" s="64"/>
      <c r="RQQ102" s="64"/>
      <c r="RQR102" s="64"/>
      <c r="RQS102" s="64"/>
      <c r="RQT102" s="64"/>
      <c r="RQU102" s="64"/>
      <c r="RQV102" s="64"/>
      <c r="RQW102" s="64"/>
      <c r="RQX102" s="64"/>
      <c r="RQY102" s="64"/>
      <c r="RQZ102" s="64"/>
      <c r="RRA102" s="64"/>
      <c r="RRB102" s="64"/>
      <c r="RRC102" s="64"/>
      <c r="RRD102" s="64"/>
      <c r="RRE102" s="64"/>
      <c r="RRF102" s="64"/>
      <c r="RRG102" s="64"/>
      <c r="RRH102" s="64"/>
      <c r="RRI102" s="64"/>
      <c r="RRJ102" s="64"/>
      <c r="RRK102" s="64"/>
      <c r="RRL102" s="64"/>
      <c r="RRM102" s="64"/>
      <c r="RRN102" s="64"/>
      <c r="RRO102" s="64"/>
      <c r="RRP102" s="64"/>
      <c r="RRQ102" s="64"/>
      <c r="RRR102" s="64"/>
      <c r="RRS102" s="64"/>
      <c r="RRT102" s="64"/>
      <c r="RRU102" s="64"/>
      <c r="RRV102" s="64"/>
      <c r="RRW102" s="64"/>
      <c r="RRX102" s="64"/>
      <c r="RRY102" s="64"/>
      <c r="RRZ102" s="64"/>
      <c r="RSA102" s="64"/>
      <c r="RSB102" s="64"/>
      <c r="RSC102" s="64"/>
      <c r="RSD102" s="64"/>
      <c r="RSE102" s="64"/>
      <c r="RSF102" s="64"/>
      <c r="RSG102" s="64"/>
      <c r="RSH102" s="64"/>
      <c r="RSI102" s="64"/>
      <c r="RSJ102" s="64"/>
      <c r="RSK102" s="64"/>
      <c r="RSL102" s="64"/>
      <c r="RSM102" s="64"/>
      <c r="RSN102" s="64"/>
      <c r="RSO102" s="64"/>
      <c r="RSP102" s="64"/>
      <c r="RSQ102" s="64"/>
      <c r="RSR102" s="64"/>
      <c r="RSS102" s="64"/>
      <c r="RST102" s="64"/>
      <c r="RSU102" s="64"/>
      <c r="RSV102" s="64"/>
      <c r="RSW102" s="64"/>
      <c r="RSX102" s="64"/>
      <c r="RSY102" s="64"/>
      <c r="RSZ102" s="64"/>
      <c r="RTA102" s="64"/>
      <c r="RTB102" s="64"/>
      <c r="RTC102" s="64"/>
      <c r="RTD102" s="64"/>
      <c r="RTE102" s="64"/>
      <c r="RTF102" s="64"/>
      <c r="RTG102" s="64"/>
      <c r="RTH102" s="64"/>
      <c r="RTI102" s="64"/>
      <c r="RTJ102" s="64"/>
      <c r="RTK102" s="64"/>
      <c r="RTL102" s="64"/>
      <c r="RTM102" s="64"/>
      <c r="RTN102" s="64"/>
      <c r="RTO102" s="64"/>
      <c r="RTP102" s="64"/>
      <c r="RTQ102" s="64"/>
      <c r="RTR102" s="64"/>
      <c r="RTS102" s="64"/>
      <c r="RTT102" s="64"/>
      <c r="RTU102" s="64"/>
      <c r="RTV102" s="64"/>
      <c r="RTW102" s="64"/>
      <c r="RTX102" s="64"/>
      <c r="RTY102" s="64"/>
      <c r="RTZ102" s="64"/>
      <c r="RUA102" s="64"/>
      <c r="RUB102" s="64"/>
      <c r="RUC102" s="64"/>
      <c r="RUD102" s="64"/>
      <c r="RUE102" s="64"/>
      <c r="RUF102" s="64"/>
      <c r="RUG102" s="64"/>
      <c r="RUH102" s="64"/>
      <c r="RUI102" s="64"/>
      <c r="RUJ102" s="64"/>
      <c r="RUK102" s="64"/>
      <c r="RUL102" s="64"/>
      <c r="RUM102" s="64"/>
      <c r="RUN102" s="64"/>
      <c r="RUU102" s="64"/>
      <c r="RUV102" s="64"/>
      <c r="RUW102" s="64"/>
      <c r="RUX102" s="64"/>
      <c r="RUY102" s="64"/>
      <c r="RUZ102" s="64"/>
      <c r="RVA102" s="64"/>
      <c r="RVB102" s="64"/>
      <c r="RVC102" s="64"/>
      <c r="RVD102" s="64"/>
      <c r="RVE102" s="64"/>
      <c r="RVF102" s="64"/>
      <c r="RVG102" s="64"/>
      <c r="RVH102" s="64"/>
      <c r="RVI102" s="64"/>
      <c r="RVJ102" s="64"/>
      <c r="RVK102" s="64"/>
      <c r="RVL102" s="64"/>
      <c r="RVM102" s="64"/>
      <c r="RVN102" s="64"/>
      <c r="RVO102" s="64"/>
      <c r="RVP102" s="64"/>
      <c r="RVQ102" s="64"/>
      <c r="RVR102" s="64"/>
      <c r="RVS102" s="64"/>
      <c r="RVT102" s="64"/>
      <c r="RVU102" s="64"/>
      <c r="RVV102" s="64"/>
      <c r="RVW102" s="64"/>
      <c r="RVX102" s="64"/>
      <c r="RVY102" s="64"/>
      <c r="RVZ102" s="64"/>
      <c r="RWA102" s="64"/>
      <c r="RWB102" s="64"/>
      <c r="RWC102" s="64"/>
      <c r="RWD102" s="64"/>
      <c r="RWE102" s="64"/>
      <c r="RWF102" s="64"/>
      <c r="RWG102" s="64"/>
      <c r="RWH102" s="64"/>
      <c r="RWI102" s="64"/>
      <c r="RWJ102" s="64"/>
      <c r="RWK102" s="64"/>
      <c r="RWL102" s="64"/>
      <c r="RWM102" s="64"/>
      <c r="RWN102" s="64"/>
      <c r="RWO102" s="64"/>
      <c r="RWP102" s="64"/>
      <c r="RWQ102" s="64"/>
      <c r="RWR102" s="64"/>
      <c r="RWS102" s="64"/>
      <c r="RWT102" s="64"/>
      <c r="RWU102" s="64"/>
      <c r="RWV102" s="64"/>
      <c r="RWW102" s="64"/>
      <c r="RWX102" s="64"/>
      <c r="RWY102" s="64"/>
      <c r="RWZ102" s="64"/>
      <c r="RXA102" s="64"/>
      <c r="RXB102" s="64"/>
      <c r="RXC102" s="64"/>
      <c r="RXD102" s="64"/>
      <c r="RXE102" s="64"/>
      <c r="RXF102" s="64"/>
      <c r="RXG102" s="64"/>
      <c r="RXH102" s="64"/>
      <c r="RXI102" s="64"/>
      <c r="RXJ102" s="64"/>
      <c r="RXK102" s="64"/>
      <c r="RXL102" s="64"/>
      <c r="RXM102" s="64"/>
      <c r="RXN102" s="64"/>
      <c r="RXO102" s="64"/>
      <c r="RXP102" s="64"/>
      <c r="RXQ102" s="64"/>
      <c r="RXR102" s="64"/>
      <c r="RXS102" s="64"/>
      <c r="RXT102" s="64"/>
      <c r="RXU102" s="64"/>
      <c r="RXV102" s="64"/>
      <c r="RXW102" s="64"/>
      <c r="RXX102" s="64"/>
      <c r="RXY102" s="64"/>
      <c r="RXZ102" s="64"/>
      <c r="RYA102" s="64"/>
      <c r="RYB102" s="64"/>
      <c r="RYC102" s="64"/>
      <c r="RYD102" s="64"/>
      <c r="RYE102" s="64"/>
      <c r="RYF102" s="64"/>
      <c r="RYG102" s="64"/>
      <c r="RYH102" s="64"/>
      <c r="RYI102" s="64"/>
      <c r="RYJ102" s="64"/>
      <c r="RYK102" s="64"/>
      <c r="RYL102" s="64"/>
      <c r="RYM102" s="64"/>
      <c r="RYN102" s="64"/>
      <c r="RYO102" s="64"/>
      <c r="RYP102" s="64"/>
      <c r="RYQ102" s="64"/>
      <c r="RYR102" s="64"/>
      <c r="RYS102" s="64"/>
      <c r="RYT102" s="64"/>
      <c r="RYU102" s="64"/>
      <c r="RYV102" s="64"/>
      <c r="RYW102" s="64"/>
      <c r="RYX102" s="64"/>
      <c r="RYY102" s="64"/>
      <c r="RYZ102" s="64"/>
      <c r="RZA102" s="64"/>
      <c r="RZB102" s="64"/>
      <c r="RZC102" s="64"/>
      <c r="RZD102" s="64"/>
      <c r="RZE102" s="64"/>
      <c r="RZF102" s="64"/>
      <c r="RZG102" s="64"/>
      <c r="RZH102" s="64"/>
      <c r="RZI102" s="64"/>
      <c r="RZJ102" s="64"/>
      <c r="RZK102" s="64"/>
      <c r="RZL102" s="64"/>
      <c r="RZM102" s="64"/>
      <c r="RZN102" s="64"/>
      <c r="RZO102" s="64"/>
      <c r="RZP102" s="64"/>
      <c r="RZQ102" s="64"/>
      <c r="RZR102" s="64"/>
      <c r="RZS102" s="64"/>
      <c r="RZT102" s="64"/>
      <c r="RZU102" s="64"/>
      <c r="RZV102" s="64"/>
      <c r="RZW102" s="64"/>
      <c r="RZX102" s="64"/>
      <c r="RZY102" s="64"/>
      <c r="RZZ102" s="64"/>
      <c r="SAA102" s="64"/>
      <c r="SAB102" s="64"/>
      <c r="SAC102" s="64"/>
      <c r="SAD102" s="64"/>
      <c r="SAE102" s="64"/>
      <c r="SAF102" s="64"/>
      <c r="SAG102" s="64"/>
      <c r="SAH102" s="64"/>
      <c r="SAI102" s="64"/>
      <c r="SAJ102" s="64"/>
      <c r="SAK102" s="64"/>
      <c r="SAL102" s="64"/>
      <c r="SAM102" s="64"/>
      <c r="SAN102" s="64"/>
      <c r="SAO102" s="64"/>
      <c r="SAP102" s="64"/>
      <c r="SAQ102" s="64"/>
      <c r="SAR102" s="64"/>
      <c r="SAS102" s="64"/>
      <c r="SAT102" s="64"/>
      <c r="SAU102" s="64"/>
      <c r="SAV102" s="64"/>
      <c r="SAW102" s="64"/>
      <c r="SAX102" s="64"/>
      <c r="SAY102" s="64"/>
      <c r="SAZ102" s="64"/>
      <c r="SBA102" s="64"/>
      <c r="SBB102" s="64"/>
      <c r="SBC102" s="64"/>
      <c r="SBD102" s="64"/>
      <c r="SBE102" s="64"/>
      <c r="SBF102" s="64"/>
      <c r="SBG102" s="64"/>
      <c r="SBH102" s="64"/>
      <c r="SBI102" s="64"/>
      <c r="SBJ102" s="64"/>
      <c r="SBK102" s="64"/>
      <c r="SBL102" s="64"/>
      <c r="SBM102" s="64"/>
      <c r="SBN102" s="64"/>
      <c r="SBO102" s="64"/>
      <c r="SBP102" s="64"/>
      <c r="SBQ102" s="64"/>
      <c r="SBR102" s="64"/>
      <c r="SBS102" s="64"/>
      <c r="SBT102" s="64"/>
      <c r="SBU102" s="64"/>
      <c r="SBV102" s="64"/>
      <c r="SBW102" s="64"/>
      <c r="SBX102" s="64"/>
      <c r="SBY102" s="64"/>
      <c r="SBZ102" s="64"/>
      <c r="SCA102" s="64"/>
      <c r="SCB102" s="64"/>
      <c r="SCC102" s="64"/>
      <c r="SCD102" s="64"/>
      <c r="SCE102" s="64"/>
      <c r="SCF102" s="64"/>
      <c r="SCG102" s="64"/>
      <c r="SCH102" s="64"/>
      <c r="SCI102" s="64"/>
      <c r="SCJ102" s="64"/>
      <c r="SCK102" s="64"/>
      <c r="SCL102" s="64"/>
      <c r="SCM102" s="64"/>
      <c r="SCN102" s="64"/>
      <c r="SCO102" s="64"/>
      <c r="SCP102" s="64"/>
      <c r="SCQ102" s="64"/>
      <c r="SCR102" s="64"/>
      <c r="SCS102" s="64"/>
      <c r="SCT102" s="64"/>
      <c r="SCU102" s="64"/>
      <c r="SCV102" s="64"/>
      <c r="SCW102" s="64"/>
      <c r="SCX102" s="64"/>
      <c r="SCY102" s="64"/>
      <c r="SCZ102" s="64"/>
      <c r="SDA102" s="64"/>
      <c r="SDB102" s="64"/>
      <c r="SDC102" s="64"/>
      <c r="SDD102" s="64"/>
      <c r="SDE102" s="64"/>
      <c r="SDF102" s="64"/>
      <c r="SDG102" s="64"/>
      <c r="SDH102" s="64"/>
      <c r="SDI102" s="64"/>
      <c r="SDJ102" s="64"/>
      <c r="SDK102" s="64"/>
      <c r="SDL102" s="64"/>
      <c r="SDM102" s="64"/>
      <c r="SDN102" s="64"/>
      <c r="SDO102" s="64"/>
      <c r="SDP102" s="64"/>
      <c r="SDQ102" s="64"/>
      <c r="SDR102" s="64"/>
      <c r="SDS102" s="64"/>
      <c r="SDT102" s="64"/>
      <c r="SDU102" s="64"/>
      <c r="SDV102" s="64"/>
      <c r="SDW102" s="64"/>
      <c r="SDX102" s="64"/>
      <c r="SDY102" s="64"/>
      <c r="SDZ102" s="64"/>
      <c r="SEA102" s="64"/>
      <c r="SEB102" s="64"/>
      <c r="SEC102" s="64"/>
      <c r="SED102" s="64"/>
      <c r="SEE102" s="64"/>
      <c r="SEF102" s="64"/>
      <c r="SEG102" s="64"/>
      <c r="SEH102" s="64"/>
      <c r="SEI102" s="64"/>
      <c r="SEJ102" s="64"/>
      <c r="SEQ102" s="64"/>
      <c r="SER102" s="64"/>
      <c r="SES102" s="64"/>
      <c r="SET102" s="64"/>
      <c r="SEU102" s="64"/>
      <c r="SEV102" s="64"/>
      <c r="SEW102" s="64"/>
      <c r="SEX102" s="64"/>
      <c r="SEY102" s="64"/>
      <c r="SEZ102" s="64"/>
      <c r="SFA102" s="64"/>
      <c r="SFB102" s="64"/>
      <c r="SFC102" s="64"/>
      <c r="SFD102" s="64"/>
      <c r="SFE102" s="64"/>
      <c r="SFF102" s="64"/>
      <c r="SFG102" s="64"/>
      <c r="SFH102" s="64"/>
      <c r="SFI102" s="64"/>
      <c r="SFJ102" s="64"/>
      <c r="SFK102" s="64"/>
      <c r="SFL102" s="64"/>
      <c r="SFM102" s="64"/>
      <c r="SFN102" s="64"/>
      <c r="SFO102" s="64"/>
      <c r="SFP102" s="64"/>
      <c r="SFQ102" s="64"/>
      <c r="SFR102" s="64"/>
      <c r="SFS102" s="64"/>
      <c r="SFT102" s="64"/>
      <c r="SFU102" s="64"/>
      <c r="SFV102" s="64"/>
      <c r="SFW102" s="64"/>
      <c r="SFX102" s="64"/>
      <c r="SFY102" s="64"/>
      <c r="SFZ102" s="64"/>
      <c r="SGA102" s="64"/>
      <c r="SGB102" s="64"/>
      <c r="SGC102" s="64"/>
      <c r="SGD102" s="64"/>
      <c r="SGE102" s="64"/>
      <c r="SGF102" s="64"/>
      <c r="SGG102" s="64"/>
      <c r="SGH102" s="64"/>
      <c r="SGI102" s="64"/>
      <c r="SGJ102" s="64"/>
      <c r="SGK102" s="64"/>
      <c r="SGL102" s="64"/>
      <c r="SGM102" s="64"/>
      <c r="SGN102" s="64"/>
      <c r="SGO102" s="64"/>
      <c r="SGP102" s="64"/>
      <c r="SGQ102" s="64"/>
      <c r="SGR102" s="64"/>
      <c r="SGS102" s="64"/>
      <c r="SGT102" s="64"/>
      <c r="SGU102" s="64"/>
      <c r="SGV102" s="64"/>
      <c r="SGW102" s="64"/>
      <c r="SGX102" s="64"/>
      <c r="SGY102" s="64"/>
      <c r="SGZ102" s="64"/>
      <c r="SHA102" s="64"/>
      <c r="SHB102" s="64"/>
      <c r="SHC102" s="64"/>
      <c r="SHD102" s="64"/>
      <c r="SHE102" s="64"/>
      <c r="SHF102" s="64"/>
      <c r="SHG102" s="64"/>
      <c r="SHH102" s="64"/>
      <c r="SHI102" s="64"/>
      <c r="SHJ102" s="64"/>
      <c r="SHK102" s="64"/>
      <c r="SHL102" s="64"/>
      <c r="SHM102" s="64"/>
      <c r="SHN102" s="64"/>
      <c r="SHO102" s="64"/>
      <c r="SHP102" s="64"/>
      <c r="SHQ102" s="64"/>
      <c r="SHR102" s="64"/>
      <c r="SHS102" s="64"/>
      <c r="SHT102" s="64"/>
      <c r="SHU102" s="64"/>
      <c r="SHV102" s="64"/>
      <c r="SHW102" s="64"/>
      <c r="SHX102" s="64"/>
      <c r="SHY102" s="64"/>
      <c r="SHZ102" s="64"/>
      <c r="SIA102" s="64"/>
      <c r="SIB102" s="64"/>
      <c r="SIC102" s="64"/>
      <c r="SID102" s="64"/>
      <c r="SIE102" s="64"/>
      <c r="SIF102" s="64"/>
      <c r="SIG102" s="64"/>
      <c r="SIH102" s="64"/>
      <c r="SII102" s="64"/>
      <c r="SIJ102" s="64"/>
      <c r="SIK102" s="64"/>
      <c r="SIL102" s="64"/>
      <c r="SIM102" s="64"/>
      <c r="SIN102" s="64"/>
      <c r="SIO102" s="64"/>
      <c r="SIP102" s="64"/>
      <c r="SIQ102" s="64"/>
      <c r="SIR102" s="64"/>
      <c r="SIS102" s="64"/>
      <c r="SIT102" s="64"/>
      <c r="SIU102" s="64"/>
      <c r="SIV102" s="64"/>
      <c r="SIW102" s="64"/>
      <c r="SIX102" s="64"/>
      <c r="SIY102" s="64"/>
      <c r="SIZ102" s="64"/>
      <c r="SJA102" s="64"/>
      <c r="SJB102" s="64"/>
      <c r="SJC102" s="64"/>
      <c r="SJD102" s="64"/>
      <c r="SJE102" s="64"/>
      <c r="SJF102" s="64"/>
      <c r="SJG102" s="64"/>
      <c r="SJH102" s="64"/>
      <c r="SJI102" s="64"/>
      <c r="SJJ102" s="64"/>
      <c r="SJK102" s="64"/>
      <c r="SJL102" s="64"/>
      <c r="SJM102" s="64"/>
      <c r="SJN102" s="64"/>
      <c r="SJO102" s="64"/>
      <c r="SJP102" s="64"/>
      <c r="SJQ102" s="64"/>
      <c r="SJR102" s="64"/>
      <c r="SJS102" s="64"/>
      <c r="SJT102" s="64"/>
      <c r="SJU102" s="64"/>
      <c r="SJV102" s="64"/>
      <c r="SJW102" s="64"/>
      <c r="SJX102" s="64"/>
      <c r="SJY102" s="64"/>
      <c r="SJZ102" s="64"/>
      <c r="SKA102" s="64"/>
      <c r="SKB102" s="64"/>
      <c r="SKC102" s="64"/>
      <c r="SKD102" s="64"/>
      <c r="SKE102" s="64"/>
      <c r="SKF102" s="64"/>
      <c r="SKG102" s="64"/>
      <c r="SKH102" s="64"/>
      <c r="SKI102" s="64"/>
      <c r="SKJ102" s="64"/>
      <c r="SKK102" s="64"/>
      <c r="SKL102" s="64"/>
      <c r="SKM102" s="64"/>
      <c r="SKN102" s="64"/>
      <c r="SKO102" s="64"/>
      <c r="SKP102" s="64"/>
      <c r="SKQ102" s="64"/>
      <c r="SKR102" s="64"/>
      <c r="SKS102" s="64"/>
      <c r="SKT102" s="64"/>
      <c r="SKU102" s="64"/>
      <c r="SKV102" s="64"/>
      <c r="SKW102" s="64"/>
      <c r="SKX102" s="64"/>
      <c r="SKY102" s="64"/>
      <c r="SKZ102" s="64"/>
      <c r="SLA102" s="64"/>
      <c r="SLB102" s="64"/>
      <c r="SLC102" s="64"/>
      <c r="SLD102" s="64"/>
      <c r="SLE102" s="64"/>
      <c r="SLF102" s="64"/>
      <c r="SLG102" s="64"/>
      <c r="SLH102" s="64"/>
      <c r="SLI102" s="64"/>
      <c r="SLJ102" s="64"/>
      <c r="SLK102" s="64"/>
      <c r="SLL102" s="64"/>
      <c r="SLM102" s="64"/>
      <c r="SLN102" s="64"/>
      <c r="SLO102" s="64"/>
      <c r="SLP102" s="64"/>
      <c r="SLQ102" s="64"/>
      <c r="SLR102" s="64"/>
      <c r="SLS102" s="64"/>
      <c r="SLT102" s="64"/>
      <c r="SLU102" s="64"/>
      <c r="SLV102" s="64"/>
      <c r="SLW102" s="64"/>
      <c r="SLX102" s="64"/>
      <c r="SLY102" s="64"/>
      <c r="SLZ102" s="64"/>
      <c r="SMA102" s="64"/>
      <c r="SMB102" s="64"/>
      <c r="SMC102" s="64"/>
      <c r="SMD102" s="64"/>
      <c r="SME102" s="64"/>
      <c r="SMF102" s="64"/>
      <c r="SMG102" s="64"/>
      <c r="SMH102" s="64"/>
      <c r="SMI102" s="64"/>
      <c r="SMJ102" s="64"/>
      <c r="SMK102" s="64"/>
      <c r="SML102" s="64"/>
      <c r="SMM102" s="64"/>
      <c r="SMN102" s="64"/>
      <c r="SMO102" s="64"/>
      <c r="SMP102" s="64"/>
      <c r="SMQ102" s="64"/>
      <c r="SMR102" s="64"/>
      <c r="SMS102" s="64"/>
      <c r="SMT102" s="64"/>
      <c r="SMU102" s="64"/>
      <c r="SMV102" s="64"/>
      <c r="SMW102" s="64"/>
      <c r="SMX102" s="64"/>
      <c r="SMY102" s="64"/>
      <c r="SMZ102" s="64"/>
      <c r="SNA102" s="64"/>
      <c r="SNB102" s="64"/>
      <c r="SNC102" s="64"/>
      <c r="SND102" s="64"/>
      <c r="SNE102" s="64"/>
      <c r="SNF102" s="64"/>
      <c r="SNG102" s="64"/>
      <c r="SNH102" s="64"/>
      <c r="SNI102" s="64"/>
      <c r="SNJ102" s="64"/>
      <c r="SNK102" s="64"/>
      <c r="SNL102" s="64"/>
      <c r="SNM102" s="64"/>
      <c r="SNN102" s="64"/>
      <c r="SNO102" s="64"/>
      <c r="SNP102" s="64"/>
      <c r="SNQ102" s="64"/>
      <c r="SNR102" s="64"/>
      <c r="SNS102" s="64"/>
      <c r="SNT102" s="64"/>
      <c r="SNU102" s="64"/>
      <c r="SNV102" s="64"/>
      <c r="SNW102" s="64"/>
      <c r="SNX102" s="64"/>
      <c r="SNY102" s="64"/>
      <c r="SNZ102" s="64"/>
      <c r="SOA102" s="64"/>
      <c r="SOB102" s="64"/>
      <c r="SOC102" s="64"/>
      <c r="SOD102" s="64"/>
      <c r="SOE102" s="64"/>
      <c r="SOF102" s="64"/>
      <c r="SOM102" s="64"/>
      <c r="SON102" s="64"/>
      <c r="SOO102" s="64"/>
      <c r="SOP102" s="64"/>
      <c r="SOQ102" s="64"/>
      <c r="SOR102" s="64"/>
      <c r="SOS102" s="64"/>
      <c r="SOT102" s="64"/>
      <c r="SOU102" s="64"/>
      <c r="SOV102" s="64"/>
      <c r="SOW102" s="64"/>
      <c r="SOX102" s="64"/>
      <c r="SOY102" s="64"/>
      <c r="SOZ102" s="64"/>
      <c r="SPA102" s="64"/>
      <c r="SPB102" s="64"/>
      <c r="SPC102" s="64"/>
      <c r="SPD102" s="64"/>
      <c r="SPE102" s="64"/>
      <c r="SPF102" s="64"/>
      <c r="SPG102" s="64"/>
      <c r="SPH102" s="64"/>
      <c r="SPI102" s="64"/>
      <c r="SPJ102" s="64"/>
      <c r="SPK102" s="64"/>
      <c r="SPL102" s="64"/>
      <c r="SPM102" s="64"/>
      <c r="SPN102" s="64"/>
      <c r="SPO102" s="64"/>
      <c r="SPP102" s="64"/>
      <c r="SPQ102" s="64"/>
      <c r="SPR102" s="64"/>
      <c r="SPS102" s="64"/>
      <c r="SPT102" s="64"/>
      <c r="SPU102" s="64"/>
      <c r="SPV102" s="64"/>
      <c r="SPW102" s="64"/>
      <c r="SPX102" s="64"/>
      <c r="SPY102" s="64"/>
      <c r="SPZ102" s="64"/>
      <c r="SQA102" s="64"/>
      <c r="SQB102" s="64"/>
      <c r="SQC102" s="64"/>
      <c r="SQD102" s="64"/>
      <c r="SQE102" s="64"/>
      <c r="SQF102" s="64"/>
      <c r="SQG102" s="64"/>
      <c r="SQH102" s="64"/>
      <c r="SQI102" s="64"/>
      <c r="SQJ102" s="64"/>
      <c r="SQK102" s="64"/>
      <c r="SQL102" s="64"/>
      <c r="SQM102" s="64"/>
      <c r="SQN102" s="64"/>
      <c r="SQO102" s="64"/>
      <c r="SQP102" s="64"/>
      <c r="SQQ102" s="64"/>
      <c r="SQR102" s="64"/>
      <c r="SQS102" s="64"/>
      <c r="SQT102" s="64"/>
      <c r="SQU102" s="64"/>
      <c r="SQV102" s="64"/>
      <c r="SQW102" s="64"/>
      <c r="SQX102" s="64"/>
      <c r="SQY102" s="64"/>
      <c r="SQZ102" s="64"/>
      <c r="SRA102" s="64"/>
      <c r="SRB102" s="64"/>
      <c r="SRC102" s="64"/>
      <c r="SRD102" s="64"/>
      <c r="SRE102" s="64"/>
      <c r="SRF102" s="64"/>
      <c r="SRG102" s="64"/>
      <c r="SRH102" s="64"/>
      <c r="SRI102" s="64"/>
      <c r="SRJ102" s="64"/>
      <c r="SRK102" s="64"/>
      <c r="SRL102" s="64"/>
      <c r="SRM102" s="64"/>
      <c r="SRN102" s="64"/>
      <c r="SRO102" s="64"/>
      <c r="SRP102" s="64"/>
      <c r="SRQ102" s="64"/>
      <c r="SRR102" s="64"/>
      <c r="SRS102" s="64"/>
      <c r="SRT102" s="64"/>
      <c r="SRU102" s="64"/>
      <c r="SRV102" s="64"/>
      <c r="SRW102" s="64"/>
      <c r="SRX102" s="64"/>
      <c r="SRY102" s="64"/>
      <c r="SRZ102" s="64"/>
      <c r="SSA102" s="64"/>
      <c r="SSB102" s="64"/>
      <c r="SSC102" s="64"/>
      <c r="SSD102" s="64"/>
      <c r="SSE102" s="64"/>
      <c r="SSF102" s="64"/>
      <c r="SSG102" s="64"/>
      <c r="SSH102" s="64"/>
      <c r="SSI102" s="64"/>
      <c r="SSJ102" s="64"/>
      <c r="SSK102" s="64"/>
      <c r="SSL102" s="64"/>
      <c r="SSM102" s="64"/>
      <c r="SSN102" s="64"/>
      <c r="SSO102" s="64"/>
      <c r="SSP102" s="64"/>
      <c r="SSQ102" s="64"/>
      <c r="SSR102" s="64"/>
      <c r="SSS102" s="64"/>
      <c r="SST102" s="64"/>
      <c r="SSU102" s="64"/>
      <c r="SSV102" s="64"/>
      <c r="SSW102" s="64"/>
      <c r="SSX102" s="64"/>
      <c r="SSY102" s="64"/>
      <c r="SSZ102" s="64"/>
      <c r="STA102" s="64"/>
      <c r="STB102" s="64"/>
      <c r="STC102" s="64"/>
      <c r="STD102" s="64"/>
      <c r="STE102" s="64"/>
      <c r="STF102" s="64"/>
      <c r="STG102" s="64"/>
      <c r="STH102" s="64"/>
      <c r="STI102" s="64"/>
      <c r="STJ102" s="64"/>
      <c r="STK102" s="64"/>
      <c r="STL102" s="64"/>
      <c r="STM102" s="64"/>
      <c r="STN102" s="64"/>
      <c r="STO102" s="64"/>
      <c r="STP102" s="64"/>
      <c r="STQ102" s="64"/>
      <c r="STR102" s="64"/>
      <c r="STS102" s="64"/>
      <c r="STT102" s="64"/>
      <c r="STU102" s="64"/>
      <c r="STV102" s="64"/>
      <c r="STW102" s="64"/>
      <c r="STX102" s="64"/>
      <c r="STY102" s="64"/>
      <c r="STZ102" s="64"/>
      <c r="SUA102" s="64"/>
      <c r="SUB102" s="64"/>
      <c r="SUC102" s="64"/>
      <c r="SUD102" s="64"/>
      <c r="SUE102" s="64"/>
      <c r="SUF102" s="64"/>
      <c r="SUG102" s="64"/>
      <c r="SUH102" s="64"/>
      <c r="SUI102" s="64"/>
      <c r="SUJ102" s="64"/>
      <c r="SUK102" s="64"/>
      <c r="SUL102" s="64"/>
      <c r="SUM102" s="64"/>
      <c r="SUN102" s="64"/>
      <c r="SUO102" s="64"/>
      <c r="SUP102" s="64"/>
      <c r="SUQ102" s="64"/>
      <c r="SUR102" s="64"/>
      <c r="SUS102" s="64"/>
      <c r="SUT102" s="64"/>
      <c r="SUU102" s="64"/>
      <c r="SUV102" s="64"/>
      <c r="SUW102" s="64"/>
      <c r="SUX102" s="64"/>
      <c r="SUY102" s="64"/>
      <c r="SUZ102" s="64"/>
      <c r="SVA102" s="64"/>
      <c r="SVB102" s="64"/>
      <c r="SVC102" s="64"/>
      <c r="SVD102" s="64"/>
      <c r="SVE102" s="64"/>
      <c r="SVF102" s="64"/>
      <c r="SVG102" s="64"/>
      <c r="SVH102" s="64"/>
      <c r="SVI102" s="64"/>
      <c r="SVJ102" s="64"/>
      <c r="SVK102" s="64"/>
      <c r="SVL102" s="64"/>
      <c r="SVM102" s="64"/>
      <c r="SVN102" s="64"/>
      <c r="SVO102" s="64"/>
      <c r="SVP102" s="64"/>
      <c r="SVQ102" s="64"/>
      <c r="SVR102" s="64"/>
      <c r="SVS102" s="64"/>
      <c r="SVT102" s="64"/>
      <c r="SVU102" s="64"/>
      <c r="SVV102" s="64"/>
      <c r="SVW102" s="64"/>
      <c r="SVX102" s="64"/>
      <c r="SVY102" s="64"/>
      <c r="SVZ102" s="64"/>
      <c r="SWA102" s="64"/>
      <c r="SWB102" s="64"/>
      <c r="SWC102" s="64"/>
      <c r="SWD102" s="64"/>
      <c r="SWE102" s="64"/>
      <c r="SWF102" s="64"/>
      <c r="SWG102" s="64"/>
      <c r="SWH102" s="64"/>
      <c r="SWI102" s="64"/>
      <c r="SWJ102" s="64"/>
      <c r="SWK102" s="64"/>
      <c r="SWL102" s="64"/>
      <c r="SWM102" s="64"/>
      <c r="SWN102" s="64"/>
      <c r="SWO102" s="64"/>
      <c r="SWP102" s="64"/>
      <c r="SWQ102" s="64"/>
      <c r="SWR102" s="64"/>
      <c r="SWS102" s="64"/>
      <c r="SWT102" s="64"/>
      <c r="SWU102" s="64"/>
      <c r="SWV102" s="64"/>
      <c r="SWW102" s="64"/>
      <c r="SWX102" s="64"/>
      <c r="SWY102" s="64"/>
      <c r="SWZ102" s="64"/>
      <c r="SXA102" s="64"/>
      <c r="SXB102" s="64"/>
      <c r="SXC102" s="64"/>
      <c r="SXD102" s="64"/>
      <c r="SXE102" s="64"/>
      <c r="SXF102" s="64"/>
      <c r="SXG102" s="64"/>
      <c r="SXH102" s="64"/>
      <c r="SXI102" s="64"/>
      <c r="SXJ102" s="64"/>
      <c r="SXK102" s="64"/>
      <c r="SXL102" s="64"/>
      <c r="SXM102" s="64"/>
      <c r="SXN102" s="64"/>
      <c r="SXO102" s="64"/>
      <c r="SXP102" s="64"/>
      <c r="SXQ102" s="64"/>
      <c r="SXR102" s="64"/>
      <c r="SXS102" s="64"/>
      <c r="SXT102" s="64"/>
      <c r="SXU102" s="64"/>
      <c r="SXV102" s="64"/>
      <c r="SXW102" s="64"/>
      <c r="SXX102" s="64"/>
      <c r="SXY102" s="64"/>
      <c r="SXZ102" s="64"/>
      <c r="SYA102" s="64"/>
      <c r="SYB102" s="64"/>
      <c r="SYI102" s="64"/>
      <c r="SYJ102" s="64"/>
      <c r="SYK102" s="64"/>
      <c r="SYL102" s="64"/>
      <c r="SYM102" s="64"/>
      <c r="SYN102" s="64"/>
      <c r="SYO102" s="64"/>
      <c r="SYP102" s="64"/>
      <c r="SYQ102" s="64"/>
      <c r="SYR102" s="64"/>
      <c r="SYS102" s="64"/>
      <c r="SYT102" s="64"/>
      <c r="SYU102" s="64"/>
      <c r="SYV102" s="64"/>
      <c r="SYW102" s="64"/>
      <c r="SYX102" s="64"/>
      <c r="SYY102" s="64"/>
      <c r="SYZ102" s="64"/>
      <c r="SZA102" s="64"/>
      <c r="SZB102" s="64"/>
      <c r="SZC102" s="64"/>
      <c r="SZD102" s="64"/>
      <c r="SZE102" s="64"/>
      <c r="SZF102" s="64"/>
      <c r="SZG102" s="64"/>
      <c r="SZH102" s="64"/>
      <c r="SZI102" s="64"/>
      <c r="SZJ102" s="64"/>
      <c r="SZK102" s="64"/>
      <c r="SZL102" s="64"/>
      <c r="SZM102" s="64"/>
      <c r="SZN102" s="64"/>
      <c r="SZO102" s="64"/>
      <c r="SZP102" s="64"/>
      <c r="SZQ102" s="64"/>
      <c r="SZR102" s="64"/>
      <c r="SZS102" s="64"/>
      <c r="SZT102" s="64"/>
      <c r="SZU102" s="64"/>
      <c r="SZV102" s="64"/>
      <c r="SZW102" s="64"/>
      <c r="SZX102" s="64"/>
      <c r="SZY102" s="64"/>
      <c r="SZZ102" s="64"/>
      <c r="TAA102" s="64"/>
      <c r="TAB102" s="64"/>
      <c r="TAC102" s="64"/>
      <c r="TAD102" s="64"/>
      <c r="TAE102" s="64"/>
      <c r="TAF102" s="64"/>
      <c r="TAG102" s="64"/>
      <c r="TAH102" s="64"/>
      <c r="TAI102" s="64"/>
      <c r="TAJ102" s="64"/>
      <c r="TAK102" s="64"/>
      <c r="TAL102" s="64"/>
      <c r="TAM102" s="64"/>
      <c r="TAN102" s="64"/>
      <c r="TAO102" s="64"/>
      <c r="TAP102" s="64"/>
      <c r="TAQ102" s="64"/>
      <c r="TAR102" s="64"/>
      <c r="TAS102" s="64"/>
      <c r="TAT102" s="64"/>
      <c r="TAU102" s="64"/>
      <c r="TAV102" s="64"/>
      <c r="TAW102" s="64"/>
      <c r="TAX102" s="64"/>
      <c r="TAY102" s="64"/>
      <c r="TAZ102" s="64"/>
      <c r="TBA102" s="64"/>
      <c r="TBB102" s="64"/>
      <c r="TBC102" s="64"/>
      <c r="TBD102" s="64"/>
      <c r="TBE102" s="64"/>
      <c r="TBF102" s="64"/>
      <c r="TBG102" s="64"/>
      <c r="TBH102" s="64"/>
      <c r="TBI102" s="64"/>
      <c r="TBJ102" s="64"/>
      <c r="TBK102" s="64"/>
      <c r="TBL102" s="64"/>
      <c r="TBM102" s="64"/>
      <c r="TBN102" s="64"/>
      <c r="TBO102" s="64"/>
      <c r="TBP102" s="64"/>
      <c r="TBQ102" s="64"/>
      <c r="TBR102" s="64"/>
      <c r="TBS102" s="64"/>
      <c r="TBT102" s="64"/>
      <c r="TBU102" s="64"/>
      <c r="TBV102" s="64"/>
      <c r="TBW102" s="64"/>
      <c r="TBX102" s="64"/>
      <c r="TBY102" s="64"/>
      <c r="TBZ102" s="64"/>
      <c r="TCA102" s="64"/>
      <c r="TCB102" s="64"/>
      <c r="TCC102" s="64"/>
      <c r="TCD102" s="64"/>
      <c r="TCE102" s="64"/>
      <c r="TCF102" s="64"/>
      <c r="TCG102" s="64"/>
      <c r="TCH102" s="64"/>
      <c r="TCI102" s="64"/>
      <c r="TCJ102" s="64"/>
      <c r="TCK102" s="64"/>
      <c r="TCL102" s="64"/>
      <c r="TCM102" s="64"/>
      <c r="TCN102" s="64"/>
      <c r="TCO102" s="64"/>
      <c r="TCP102" s="64"/>
      <c r="TCQ102" s="64"/>
      <c r="TCR102" s="64"/>
      <c r="TCS102" s="64"/>
      <c r="TCT102" s="64"/>
      <c r="TCU102" s="64"/>
      <c r="TCV102" s="64"/>
      <c r="TCW102" s="64"/>
      <c r="TCX102" s="64"/>
      <c r="TCY102" s="64"/>
      <c r="TCZ102" s="64"/>
      <c r="TDA102" s="64"/>
      <c r="TDB102" s="64"/>
      <c r="TDC102" s="64"/>
      <c r="TDD102" s="64"/>
      <c r="TDE102" s="64"/>
      <c r="TDF102" s="64"/>
      <c r="TDG102" s="64"/>
      <c r="TDH102" s="64"/>
      <c r="TDI102" s="64"/>
      <c r="TDJ102" s="64"/>
      <c r="TDK102" s="64"/>
      <c r="TDL102" s="64"/>
      <c r="TDM102" s="64"/>
      <c r="TDN102" s="64"/>
      <c r="TDO102" s="64"/>
      <c r="TDP102" s="64"/>
      <c r="TDQ102" s="64"/>
      <c r="TDR102" s="64"/>
      <c r="TDS102" s="64"/>
      <c r="TDT102" s="64"/>
      <c r="TDU102" s="64"/>
      <c r="TDV102" s="64"/>
      <c r="TDW102" s="64"/>
      <c r="TDX102" s="64"/>
      <c r="TDY102" s="64"/>
      <c r="TDZ102" s="64"/>
      <c r="TEA102" s="64"/>
      <c r="TEB102" s="64"/>
      <c r="TEC102" s="64"/>
      <c r="TED102" s="64"/>
      <c r="TEE102" s="64"/>
      <c r="TEF102" s="64"/>
      <c r="TEG102" s="64"/>
      <c r="TEH102" s="64"/>
      <c r="TEI102" s="64"/>
      <c r="TEJ102" s="64"/>
      <c r="TEK102" s="64"/>
      <c r="TEL102" s="64"/>
      <c r="TEM102" s="64"/>
      <c r="TEN102" s="64"/>
      <c r="TEO102" s="64"/>
      <c r="TEP102" s="64"/>
      <c r="TEQ102" s="64"/>
      <c r="TER102" s="64"/>
      <c r="TES102" s="64"/>
      <c r="TET102" s="64"/>
      <c r="TEU102" s="64"/>
      <c r="TEV102" s="64"/>
      <c r="TEW102" s="64"/>
      <c r="TEX102" s="64"/>
      <c r="TEY102" s="64"/>
      <c r="TEZ102" s="64"/>
      <c r="TFA102" s="64"/>
      <c r="TFB102" s="64"/>
      <c r="TFC102" s="64"/>
      <c r="TFD102" s="64"/>
      <c r="TFE102" s="64"/>
      <c r="TFF102" s="64"/>
      <c r="TFG102" s="64"/>
      <c r="TFH102" s="64"/>
      <c r="TFI102" s="64"/>
      <c r="TFJ102" s="64"/>
      <c r="TFK102" s="64"/>
      <c r="TFL102" s="64"/>
      <c r="TFM102" s="64"/>
      <c r="TFN102" s="64"/>
      <c r="TFO102" s="64"/>
      <c r="TFP102" s="64"/>
      <c r="TFQ102" s="64"/>
      <c r="TFR102" s="64"/>
      <c r="TFS102" s="64"/>
      <c r="TFT102" s="64"/>
      <c r="TFU102" s="64"/>
      <c r="TFV102" s="64"/>
      <c r="TFW102" s="64"/>
      <c r="TFX102" s="64"/>
      <c r="TFY102" s="64"/>
      <c r="TFZ102" s="64"/>
      <c r="TGA102" s="64"/>
      <c r="TGB102" s="64"/>
      <c r="TGC102" s="64"/>
      <c r="TGD102" s="64"/>
      <c r="TGE102" s="64"/>
      <c r="TGF102" s="64"/>
      <c r="TGG102" s="64"/>
      <c r="TGH102" s="64"/>
      <c r="TGI102" s="64"/>
      <c r="TGJ102" s="64"/>
      <c r="TGK102" s="64"/>
      <c r="TGL102" s="64"/>
      <c r="TGM102" s="64"/>
      <c r="TGN102" s="64"/>
      <c r="TGO102" s="64"/>
      <c r="TGP102" s="64"/>
      <c r="TGQ102" s="64"/>
      <c r="TGR102" s="64"/>
      <c r="TGS102" s="64"/>
      <c r="TGT102" s="64"/>
      <c r="TGU102" s="64"/>
      <c r="TGV102" s="64"/>
      <c r="TGW102" s="64"/>
      <c r="TGX102" s="64"/>
      <c r="TGY102" s="64"/>
      <c r="TGZ102" s="64"/>
      <c r="THA102" s="64"/>
      <c r="THB102" s="64"/>
      <c r="THC102" s="64"/>
      <c r="THD102" s="64"/>
      <c r="THE102" s="64"/>
      <c r="THF102" s="64"/>
      <c r="THG102" s="64"/>
      <c r="THH102" s="64"/>
      <c r="THI102" s="64"/>
      <c r="THJ102" s="64"/>
      <c r="THK102" s="64"/>
      <c r="THL102" s="64"/>
      <c r="THM102" s="64"/>
      <c r="THN102" s="64"/>
      <c r="THO102" s="64"/>
      <c r="THP102" s="64"/>
      <c r="THQ102" s="64"/>
      <c r="THR102" s="64"/>
      <c r="THS102" s="64"/>
      <c r="THT102" s="64"/>
      <c r="THU102" s="64"/>
      <c r="THV102" s="64"/>
      <c r="THW102" s="64"/>
      <c r="THX102" s="64"/>
      <c r="TIE102" s="64"/>
      <c r="TIF102" s="64"/>
      <c r="TIG102" s="64"/>
      <c r="TIH102" s="64"/>
      <c r="TII102" s="64"/>
      <c r="TIJ102" s="64"/>
      <c r="TIK102" s="64"/>
      <c r="TIL102" s="64"/>
      <c r="TIM102" s="64"/>
      <c r="TIN102" s="64"/>
      <c r="TIO102" s="64"/>
      <c r="TIP102" s="64"/>
      <c r="TIQ102" s="64"/>
      <c r="TIR102" s="64"/>
      <c r="TIS102" s="64"/>
      <c r="TIT102" s="64"/>
      <c r="TIU102" s="64"/>
      <c r="TIV102" s="64"/>
      <c r="TIW102" s="64"/>
      <c r="TIX102" s="64"/>
      <c r="TIY102" s="64"/>
      <c r="TIZ102" s="64"/>
      <c r="TJA102" s="64"/>
      <c r="TJB102" s="64"/>
      <c r="TJC102" s="64"/>
      <c r="TJD102" s="64"/>
      <c r="TJE102" s="64"/>
      <c r="TJF102" s="64"/>
      <c r="TJG102" s="64"/>
      <c r="TJH102" s="64"/>
      <c r="TJI102" s="64"/>
      <c r="TJJ102" s="64"/>
      <c r="TJK102" s="64"/>
      <c r="TJL102" s="64"/>
      <c r="TJM102" s="64"/>
      <c r="TJN102" s="64"/>
      <c r="TJO102" s="64"/>
      <c r="TJP102" s="64"/>
      <c r="TJQ102" s="64"/>
      <c r="TJR102" s="64"/>
      <c r="TJS102" s="64"/>
      <c r="TJT102" s="64"/>
      <c r="TJU102" s="64"/>
      <c r="TJV102" s="64"/>
      <c r="TJW102" s="64"/>
      <c r="TJX102" s="64"/>
      <c r="TJY102" s="64"/>
      <c r="TJZ102" s="64"/>
      <c r="TKA102" s="64"/>
      <c r="TKB102" s="64"/>
      <c r="TKC102" s="64"/>
      <c r="TKD102" s="64"/>
      <c r="TKE102" s="64"/>
      <c r="TKF102" s="64"/>
      <c r="TKG102" s="64"/>
      <c r="TKH102" s="64"/>
      <c r="TKI102" s="64"/>
      <c r="TKJ102" s="64"/>
      <c r="TKK102" s="64"/>
      <c r="TKL102" s="64"/>
      <c r="TKM102" s="64"/>
      <c r="TKN102" s="64"/>
      <c r="TKO102" s="64"/>
      <c r="TKP102" s="64"/>
      <c r="TKQ102" s="64"/>
      <c r="TKR102" s="64"/>
      <c r="TKS102" s="64"/>
      <c r="TKT102" s="64"/>
      <c r="TKU102" s="64"/>
      <c r="TKV102" s="64"/>
      <c r="TKW102" s="64"/>
      <c r="TKX102" s="64"/>
      <c r="TKY102" s="64"/>
      <c r="TKZ102" s="64"/>
      <c r="TLA102" s="64"/>
      <c r="TLB102" s="64"/>
      <c r="TLC102" s="64"/>
      <c r="TLD102" s="64"/>
      <c r="TLE102" s="64"/>
      <c r="TLF102" s="64"/>
      <c r="TLG102" s="64"/>
      <c r="TLH102" s="64"/>
      <c r="TLI102" s="64"/>
      <c r="TLJ102" s="64"/>
      <c r="TLK102" s="64"/>
      <c r="TLL102" s="64"/>
      <c r="TLM102" s="64"/>
      <c r="TLN102" s="64"/>
      <c r="TLO102" s="64"/>
      <c r="TLP102" s="64"/>
      <c r="TLQ102" s="64"/>
      <c r="TLR102" s="64"/>
      <c r="TLS102" s="64"/>
      <c r="TLT102" s="64"/>
      <c r="TLU102" s="64"/>
      <c r="TLV102" s="64"/>
      <c r="TLW102" s="64"/>
      <c r="TLX102" s="64"/>
      <c r="TLY102" s="64"/>
      <c r="TLZ102" s="64"/>
      <c r="TMA102" s="64"/>
      <c r="TMB102" s="64"/>
      <c r="TMC102" s="64"/>
      <c r="TMD102" s="64"/>
      <c r="TME102" s="64"/>
      <c r="TMF102" s="64"/>
      <c r="TMG102" s="64"/>
      <c r="TMH102" s="64"/>
      <c r="TMI102" s="64"/>
      <c r="TMJ102" s="64"/>
      <c r="TMK102" s="64"/>
      <c r="TML102" s="64"/>
      <c r="TMM102" s="64"/>
      <c r="TMN102" s="64"/>
      <c r="TMO102" s="64"/>
      <c r="TMP102" s="64"/>
      <c r="TMQ102" s="64"/>
      <c r="TMR102" s="64"/>
      <c r="TMS102" s="64"/>
      <c r="TMT102" s="64"/>
      <c r="TMU102" s="64"/>
      <c r="TMV102" s="64"/>
      <c r="TMW102" s="64"/>
      <c r="TMX102" s="64"/>
      <c r="TMY102" s="64"/>
      <c r="TMZ102" s="64"/>
      <c r="TNA102" s="64"/>
      <c r="TNB102" s="64"/>
      <c r="TNC102" s="64"/>
      <c r="TND102" s="64"/>
      <c r="TNE102" s="64"/>
      <c r="TNF102" s="64"/>
      <c r="TNG102" s="64"/>
      <c r="TNH102" s="64"/>
      <c r="TNI102" s="64"/>
      <c r="TNJ102" s="64"/>
      <c r="TNK102" s="64"/>
      <c r="TNL102" s="64"/>
      <c r="TNM102" s="64"/>
      <c r="TNN102" s="64"/>
      <c r="TNO102" s="64"/>
      <c r="TNP102" s="64"/>
      <c r="TNQ102" s="64"/>
      <c r="TNR102" s="64"/>
      <c r="TNS102" s="64"/>
      <c r="TNT102" s="64"/>
      <c r="TNU102" s="64"/>
      <c r="TNV102" s="64"/>
      <c r="TNW102" s="64"/>
      <c r="TNX102" s="64"/>
      <c r="TNY102" s="64"/>
      <c r="TNZ102" s="64"/>
      <c r="TOA102" s="64"/>
      <c r="TOB102" s="64"/>
      <c r="TOC102" s="64"/>
      <c r="TOD102" s="64"/>
      <c r="TOE102" s="64"/>
      <c r="TOF102" s="64"/>
      <c r="TOG102" s="64"/>
      <c r="TOH102" s="64"/>
      <c r="TOI102" s="64"/>
      <c r="TOJ102" s="64"/>
      <c r="TOK102" s="64"/>
      <c r="TOL102" s="64"/>
      <c r="TOM102" s="64"/>
      <c r="TON102" s="64"/>
      <c r="TOO102" s="64"/>
      <c r="TOP102" s="64"/>
      <c r="TOQ102" s="64"/>
      <c r="TOR102" s="64"/>
      <c r="TOS102" s="64"/>
      <c r="TOT102" s="64"/>
      <c r="TOU102" s="64"/>
      <c r="TOV102" s="64"/>
      <c r="TOW102" s="64"/>
      <c r="TOX102" s="64"/>
      <c r="TOY102" s="64"/>
      <c r="TOZ102" s="64"/>
      <c r="TPA102" s="64"/>
      <c r="TPB102" s="64"/>
      <c r="TPC102" s="64"/>
      <c r="TPD102" s="64"/>
      <c r="TPE102" s="64"/>
      <c r="TPF102" s="64"/>
      <c r="TPG102" s="64"/>
      <c r="TPH102" s="64"/>
      <c r="TPI102" s="64"/>
      <c r="TPJ102" s="64"/>
      <c r="TPK102" s="64"/>
      <c r="TPL102" s="64"/>
      <c r="TPM102" s="64"/>
      <c r="TPN102" s="64"/>
      <c r="TPO102" s="64"/>
      <c r="TPP102" s="64"/>
      <c r="TPQ102" s="64"/>
      <c r="TPR102" s="64"/>
      <c r="TPS102" s="64"/>
      <c r="TPT102" s="64"/>
      <c r="TPU102" s="64"/>
      <c r="TPV102" s="64"/>
      <c r="TPW102" s="64"/>
      <c r="TPX102" s="64"/>
      <c r="TPY102" s="64"/>
      <c r="TPZ102" s="64"/>
      <c r="TQA102" s="64"/>
      <c r="TQB102" s="64"/>
      <c r="TQC102" s="64"/>
      <c r="TQD102" s="64"/>
      <c r="TQE102" s="64"/>
      <c r="TQF102" s="64"/>
      <c r="TQG102" s="64"/>
      <c r="TQH102" s="64"/>
      <c r="TQI102" s="64"/>
      <c r="TQJ102" s="64"/>
      <c r="TQK102" s="64"/>
      <c r="TQL102" s="64"/>
      <c r="TQM102" s="64"/>
      <c r="TQN102" s="64"/>
      <c r="TQO102" s="64"/>
      <c r="TQP102" s="64"/>
      <c r="TQQ102" s="64"/>
      <c r="TQR102" s="64"/>
      <c r="TQS102" s="64"/>
      <c r="TQT102" s="64"/>
      <c r="TQU102" s="64"/>
      <c r="TQV102" s="64"/>
      <c r="TQW102" s="64"/>
      <c r="TQX102" s="64"/>
      <c r="TQY102" s="64"/>
      <c r="TQZ102" s="64"/>
      <c r="TRA102" s="64"/>
      <c r="TRB102" s="64"/>
      <c r="TRC102" s="64"/>
      <c r="TRD102" s="64"/>
      <c r="TRE102" s="64"/>
      <c r="TRF102" s="64"/>
      <c r="TRG102" s="64"/>
      <c r="TRH102" s="64"/>
      <c r="TRI102" s="64"/>
      <c r="TRJ102" s="64"/>
      <c r="TRK102" s="64"/>
      <c r="TRL102" s="64"/>
      <c r="TRM102" s="64"/>
      <c r="TRN102" s="64"/>
      <c r="TRO102" s="64"/>
      <c r="TRP102" s="64"/>
      <c r="TRQ102" s="64"/>
      <c r="TRR102" s="64"/>
      <c r="TRS102" s="64"/>
      <c r="TRT102" s="64"/>
      <c r="TSA102" s="64"/>
      <c r="TSB102" s="64"/>
      <c r="TSC102" s="64"/>
      <c r="TSD102" s="64"/>
      <c r="TSE102" s="64"/>
      <c r="TSF102" s="64"/>
      <c r="TSG102" s="64"/>
      <c r="TSH102" s="64"/>
      <c r="TSI102" s="64"/>
      <c r="TSJ102" s="64"/>
      <c r="TSK102" s="64"/>
      <c r="TSL102" s="64"/>
      <c r="TSM102" s="64"/>
      <c r="TSN102" s="64"/>
      <c r="TSO102" s="64"/>
      <c r="TSP102" s="64"/>
      <c r="TSQ102" s="64"/>
      <c r="TSR102" s="64"/>
      <c r="TSS102" s="64"/>
      <c r="TST102" s="64"/>
      <c r="TSU102" s="64"/>
      <c r="TSV102" s="64"/>
      <c r="TSW102" s="64"/>
      <c r="TSX102" s="64"/>
      <c r="TSY102" s="64"/>
      <c r="TSZ102" s="64"/>
      <c r="TTA102" s="64"/>
      <c r="TTB102" s="64"/>
      <c r="TTC102" s="64"/>
      <c r="TTD102" s="64"/>
      <c r="TTE102" s="64"/>
      <c r="TTF102" s="64"/>
      <c r="TTG102" s="64"/>
      <c r="TTH102" s="64"/>
      <c r="TTI102" s="64"/>
      <c r="TTJ102" s="64"/>
      <c r="TTK102" s="64"/>
      <c r="TTL102" s="64"/>
      <c r="TTM102" s="64"/>
      <c r="TTN102" s="64"/>
      <c r="TTO102" s="64"/>
      <c r="TTP102" s="64"/>
      <c r="TTQ102" s="64"/>
      <c r="TTR102" s="64"/>
      <c r="TTS102" s="64"/>
      <c r="TTT102" s="64"/>
      <c r="TTU102" s="64"/>
      <c r="TTV102" s="64"/>
      <c r="TTW102" s="64"/>
      <c r="TTX102" s="64"/>
      <c r="TTY102" s="64"/>
      <c r="TTZ102" s="64"/>
      <c r="TUA102" s="64"/>
      <c r="TUB102" s="64"/>
      <c r="TUC102" s="64"/>
      <c r="TUD102" s="64"/>
      <c r="TUE102" s="64"/>
      <c r="TUF102" s="64"/>
      <c r="TUG102" s="64"/>
      <c r="TUH102" s="64"/>
      <c r="TUI102" s="64"/>
      <c r="TUJ102" s="64"/>
      <c r="TUK102" s="64"/>
      <c r="TUL102" s="64"/>
      <c r="TUM102" s="64"/>
      <c r="TUN102" s="64"/>
      <c r="TUO102" s="64"/>
      <c r="TUP102" s="64"/>
      <c r="TUQ102" s="64"/>
      <c r="TUR102" s="64"/>
      <c r="TUS102" s="64"/>
      <c r="TUT102" s="64"/>
      <c r="TUU102" s="64"/>
      <c r="TUV102" s="64"/>
      <c r="TUW102" s="64"/>
      <c r="TUX102" s="64"/>
      <c r="TUY102" s="64"/>
      <c r="TUZ102" s="64"/>
      <c r="TVA102" s="64"/>
      <c r="TVB102" s="64"/>
      <c r="TVC102" s="64"/>
      <c r="TVD102" s="64"/>
      <c r="TVE102" s="64"/>
      <c r="TVF102" s="64"/>
      <c r="TVG102" s="64"/>
      <c r="TVH102" s="64"/>
      <c r="TVI102" s="64"/>
      <c r="TVJ102" s="64"/>
      <c r="TVK102" s="64"/>
      <c r="TVL102" s="64"/>
      <c r="TVM102" s="64"/>
      <c r="TVN102" s="64"/>
      <c r="TVO102" s="64"/>
      <c r="TVP102" s="64"/>
      <c r="TVQ102" s="64"/>
      <c r="TVR102" s="64"/>
      <c r="TVS102" s="64"/>
      <c r="TVT102" s="64"/>
      <c r="TVU102" s="64"/>
      <c r="TVV102" s="64"/>
      <c r="TVW102" s="64"/>
      <c r="TVX102" s="64"/>
      <c r="TVY102" s="64"/>
      <c r="TVZ102" s="64"/>
      <c r="TWA102" s="64"/>
      <c r="TWB102" s="64"/>
      <c r="TWC102" s="64"/>
      <c r="TWD102" s="64"/>
      <c r="TWE102" s="64"/>
      <c r="TWF102" s="64"/>
      <c r="TWG102" s="64"/>
      <c r="TWH102" s="64"/>
      <c r="TWI102" s="64"/>
      <c r="TWJ102" s="64"/>
      <c r="TWK102" s="64"/>
      <c r="TWL102" s="64"/>
      <c r="TWM102" s="64"/>
      <c r="TWN102" s="64"/>
      <c r="TWO102" s="64"/>
      <c r="TWP102" s="64"/>
      <c r="TWQ102" s="64"/>
      <c r="TWR102" s="64"/>
      <c r="TWS102" s="64"/>
      <c r="TWT102" s="64"/>
      <c r="TWU102" s="64"/>
      <c r="TWV102" s="64"/>
      <c r="TWW102" s="64"/>
      <c r="TWX102" s="64"/>
      <c r="TWY102" s="64"/>
      <c r="TWZ102" s="64"/>
      <c r="TXA102" s="64"/>
      <c r="TXB102" s="64"/>
      <c r="TXC102" s="64"/>
      <c r="TXD102" s="64"/>
      <c r="TXE102" s="64"/>
      <c r="TXF102" s="64"/>
      <c r="TXG102" s="64"/>
      <c r="TXH102" s="64"/>
      <c r="TXI102" s="64"/>
      <c r="TXJ102" s="64"/>
      <c r="TXK102" s="64"/>
      <c r="TXL102" s="64"/>
      <c r="TXM102" s="64"/>
      <c r="TXN102" s="64"/>
      <c r="TXO102" s="64"/>
      <c r="TXP102" s="64"/>
      <c r="TXQ102" s="64"/>
      <c r="TXR102" s="64"/>
      <c r="TXS102" s="64"/>
      <c r="TXT102" s="64"/>
      <c r="TXU102" s="64"/>
      <c r="TXV102" s="64"/>
      <c r="TXW102" s="64"/>
      <c r="TXX102" s="64"/>
      <c r="TXY102" s="64"/>
      <c r="TXZ102" s="64"/>
      <c r="TYA102" s="64"/>
      <c r="TYB102" s="64"/>
      <c r="TYC102" s="64"/>
      <c r="TYD102" s="64"/>
      <c r="TYE102" s="64"/>
      <c r="TYF102" s="64"/>
      <c r="TYG102" s="64"/>
      <c r="TYH102" s="64"/>
      <c r="TYI102" s="64"/>
      <c r="TYJ102" s="64"/>
      <c r="TYK102" s="64"/>
      <c r="TYL102" s="64"/>
      <c r="TYM102" s="64"/>
      <c r="TYN102" s="64"/>
      <c r="TYO102" s="64"/>
      <c r="TYP102" s="64"/>
      <c r="TYQ102" s="64"/>
      <c r="TYR102" s="64"/>
      <c r="TYS102" s="64"/>
      <c r="TYT102" s="64"/>
      <c r="TYU102" s="64"/>
      <c r="TYV102" s="64"/>
      <c r="TYW102" s="64"/>
      <c r="TYX102" s="64"/>
      <c r="TYY102" s="64"/>
      <c r="TYZ102" s="64"/>
      <c r="TZA102" s="64"/>
      <c r="TZB102" s="64"/>
      <c r="TZC102" s="64"/>
      <c r="TZD102" s="64"/>
      <c r="TZE102" s="64"/>
      <c r="TZF102" s="64"/>
      <c r="TZG102" s="64"/>
      <c r="TZH102" s="64"/>
      <c r="TZI102" s="64"/>
      <c r="TZJ102" s="64"/>
      <c r="TZK102" s="64"/>
      <c r="TZL102" s="64"/>
      <c r="TZM102" s="64"/>
      <c r="TZN102" s="64"/>
      <c r="TZO102" s="64"/>
      <c r="TZP102" s="64"/>
      <c r="TZQ102" s="64"/>
      <c r="TZR102" s="64"/>
      <c r="TZS102" s="64"/>
      <c r="TZT102" s="64"/>
      <c r="TZU102" s="64"/>
      <c r="TZV102" s="64"/>
      <c r="TZW102" s="64"/>
      <c r="TZX102" s="64"/>
      <c r="TZY102" s="64"/>
      <c r="TZZ102" s="64"/>
      <c r="UAA102" s="64"/>
      <c r="UAB102" s="64"/>
      <c r="UAC102" s="64"/>
      <c r="UAD102" s="64"/>
      <c r="UAE102" s="64"/>
      <c r="UAF102" s="64"/>
      <c r="UAG102" s="64"/>
      <c r="UAH102" s="64"/>
      <c r="UAI102" s="64"/>
      <c r="UAJ102" s="64"/>
      <c r="UAK102" s="64"/>
      <c r="UAL102" s="64"/>
      <c r="UAM102" s="64"/>
      <c r="UAN102" s="64"/>
      <c r="UAO102" s="64"/>
      <c r="UAP102" s="64"/>
      <c r="UAQ102" s="64"/>
      <c r="UAR102" s="64"/>
      <c r="UAS102" s="64"/>
      <c r="UAT102" s="64"/>
      <c r="UAU102" s="64"/>
      <c r="UAV102" s="64"/>
      <c r="UAW102" s="64"/>
      <c r="UAX102" s="64"/>
      <c r="UAY102" s="64"/>
      <c r="UAZ102" s="64"/>
      <c r="UBA102" s="64"/>
      <c r="UBB102" s="64"/>
      <c r="UBC102" s="64"/>
      <c r="UBD102" s="64"/>
      <c r="UBE102" s="64"/>
      <c r="UBF102" s="64"/>
      <c r="UBG102" s="64"/>
      <c r="UBH102" s="64"/>
      <c r="UBI102" s="64"/>
      <c r="UBJ102" s="64"/>
      <c r="UBK102" s="64"/>
      <c r="UBL102" s="64"/>
      <c r="UBM102" s="64"/>
      <c r="UBN102" s="64"/>
      <c r="UBO102" s="64"/>
      <c r="UBP102" s="64"/>
      <c r="UBW102" s="64"/>
      <c r="UBX102" s="64"/>
      <c r="UBY102" s="64"/>
      <c r="UBZ102" s="64"/>
      <c r="UCA102" s="64"/>
      <c r="UCB102" s="64"/>
      <c r="UCC102" s="64"/>
      <c r="UCD102" s="64"/>
      <c r="UCE102" s="64"/>
      <c r="UCF102" s="64"/>
      <c r="UCG102" s="64"/>
      <c r="UCH102" s="64"/>
      <c r="UCI102" s="64"/>
      <c r="UCJ102" s="64"/>
      <c r="UCK102" s="64"/>
      <c r="UCL102" s="64"/>
      <c r="UCM102" s="64"/>
      <c r="UCN102" s="64"/>
      <c r="UCO102" s="64"/>
      <c r="UCP102" s="64"/>
      <c r="UCQ102" s="64"/>
      <c r="UCR102" s="64"/>
      <c r="UCS102" s="64"/>
      <c r="UCT102" s="64"/>
      <c r="UCU102" s="64"/>
      <c r="UCV102" s="64"/>
      <c r="UCW102" s="64"/>
      <c r="UCX102" s="64"/>
      <c r="UCY102" s="64"/>
      <c r="UCZ102" s="64"/>
      <c r="UDA102" s="64"/>
      <c r="UDB102" s="64"/>
      <c r="UDC102" s="64"/>
      <c r="UDD102" s="64"/>
      <c r="UDE102" s="64"/>
      <c r="UDF102" s="64"/>
      <c r="UDG102" s="64"/>
      <c r="UDH102" s="64"/>
      <c r="UDI102" s="64"/>
      <c r="UDJ102" s="64"/>
      <c r="UDK102" s="64"/>
      <c r="UDL102" s="64"/>
      <c r="UDM102" s="64"/>
      <c r="UDN102" s="64"/>
      <c r="UDO102" s="64"/>
      <c r="UDP102" s="64"/>
      <c r="UDQ102" s="64"/>
      <c r="UDR102" s="64"/>
      <c r="UDS102" s="64"/>
      <c r="UDT102" s="64"/>
      <c r="UDU102" s="64"/>
      <c r="UDV102" s="64"/>
      <c r="UDW102" s="64"/>
      <c r="UDX102" s="64"/>
      <c r="UDY102" s="64"/>
      <c r="UDZ102" s="64"/>
      <c r="UEA102" s="64"/>
      <c r="UEB102" s="64"/>
      <c r="UEC102" s="64"/>
      <c r="UED102" s="64"/>
      <c r="UEE102" s="64"/>
      <c r="UEF102" s="64"/>
      <c r="UEG102" s="64"/>
      <c r="UEH102" s="64"/>
      <c r="UEI102" s="64"/>
      <c r="UEJ102" s="64"/>
      <c r="UEK102" s="64"/>
      <c r="UEL102" s="64"/>
      <c r="UEM102" s="64"/>
      <c r="UEN102" s="64"/>
      <c r="UEO102" s="64"/>
      <c r="UEP102" s="64"/>
      <c r="UEQ102" s="64"/>
      <c r="UER102" s="64"/>
      <c r="UES102" s="64"/>
      <c r="UET102" s="64"/>
      <c r="UEU102" s="64"/>
      <c r="UEV102" s="64"/>
      <c r="UEW102" s="64"/>
      <c r="UEX102" s="64"/>
      <c r="UEY102" s="64"/>
      <c r="UEZ102" s="64"/>
      <c r="UFA102" s="64"/>
      <c r="UFB102" s="64"/>
      <c r="UFC102" s="64"/>
      <c r="UFD102" s="64"/>
      <c r="UFE102" s="64"/>
      <c r="UFF102" s="64"/>
      <c r="UFG102" s="64"/>
      <c r="UFH102" s="64"/>
      <c r="UFI102" s="64"/>
      <c r="UFJ102" s="64"/>
      <c r="UFK102" s="64"/>
      <c r="UFL102" s="64"/>
      <c r="UFM102" s="64"/>
      <c r="UFN102" s="64"/>
      <c r="UFO102" s="64"/>
      <c r="UFP102" s="64"/>
      <c r="UFQ102" s="64"/>
      <c r="UFR102" s="64"/>
      <c r="UFS102" s="64"/>
      <c r="UFT102" s="64"/>
      <c r="UFU102" s="64"/>
      <c r="UFV102" s="64"/>
      <c r="UFW102" s="64"/>
      <c r="UFX102" s="64"/>
      <c r="UFY102" s="64"/>
      <c r="UFZ102" s="64"/>
      <c r="UGA102" s="64"/>
      <c r="UGB102" s="64"/>
      <c r="UGC102" s="64"/>
      <c r="UGD102" s="64"/>
      <c r="UGE102" s="64"/>
      <c r="UGF102" s="64"/>
      <c r="UGG102" s="64"/>
      <c r="UGH102" s="64"/>
      <c r="UGI102" s="64"/>
      <c r="UGJ102" s="64"/>
      <c r="UGK102" s="64"/>
      <c r="UGL102" s="64"/>
      <c r="UGM102" s="64"/>
      <c r="UGN102" s="64"/>
      <c r="UGO102" s="64"/>
      <c r="UGP102" s="64"/>
      <c r="UGQ102" s="64"/>
      <c r="UGR102" s="64"/>
      <c r="UGS102" s="64"/>
      <c r="UGT102" s="64"/>
      <c r="UGU102" s="64"/>
      <c r="UGV102" s="64"/>
      <c r="UGW102" s="64"/>
      <c r="UGX102" s="64"/>
      <c r="UGY102" s="64"/>
      <c r="UGZ102" s="64"/>
      <c r="UHA102" s="64"/>
      <c r="UHB102" s="64"/>
      <c r="UHC102" s="64"/>
      <c r="UHD102" s="64"/>
      <c r="UHE102" s="64"/>
      <c r="UHF102" s="64"/>
      <c r="UHG102" s="64"/>
      <c r="UHH102" s="64"/>
      <c r="UHI102" s="64"/>
      <c r="UHJ102" s="64"/>
      <c r="UHK102" s="64"/>
      <c r="UHL102" s="64"/>
      <c r="UHM102" s="64"/>
      <c r="UHN102" s="64"/>
      <c r="UHO102" s="64"/>
      <c r="UHP102" s="64"/>
      <c r="UHQ102" s="64"/>
      <c r="UHR102" s="64"/>
      <c r="UHS102" s="64"/>
      <c r="UHT102" s="64"/>
      <c r="UHU102" s="64"/>
      <c r="UHV102" s="64"/>
      <c r="UHW102" s="64"/>
      <c r="UHX102" s="64"/>
      <c r="UHY102" s="64"/>
      <c r="UHZ102" s="64"/>
      <c r="UIA102" s="64"/>
      <c r="UIB102" s="64"/>
      <c r="UIC102" s="64"/>
      <c r="UID102" s="64"/>
      <c r="UIE102" s="64"/>
      <c r="UIF102" s="64"/>
      <c r="UIG102" s="64"/>
      <c r="UIH102" s="64"/>
      <c r="UII102" s="64"/>
      <c r="UIJ102" s="64"/>
      <c r="UIK102" s="64"/>
      <c r="UIL102" s="64"/>
      <c r="UIM102" s="64"/>
      <c r="UIN102" s="64"/>
      <c r="UIO102" s="64"/>
      <c r="UIP102" s="64"/>
      <c r="UIQ102" s="64"/>
      <c r="UIR102" s="64"/>
      <c r="UIS102" s="64"/>
      <c r="UIT102" s="64"/>
      <c r="UIU102" s="64"/>
      <c r="UIV102" s="64"/>
      <c r="UIW102" s="64"/>
      <c r="UIX102" s="64"/>
      <c r="UIY102" s="64"/>
      <c r="UIZ102" s="64"/>
      <c r="UJA102" s="64"/>
      <c r="UJB102" s="64"/>
      <c r="UJC102" s="64"/>
      <c r="UJD102" s="64"/>
      <c r="UJE102" s="64"/>
      <c r="UJF102" s="64"/>
      <c r="UJG102" s="64"/>
      <c r="UJH102" s="64"/>
      <c r="UJI102" s="64"/>
      <c r="UJJ102" s="64"/>
      <c r="UJK102" s="64"/>
      <c r="UJL102" s="64"/>
      <c r="UJM102" s="64"/>
      <c r="UJN102" s="64"/>
      <c r="UJO102" s="64"/>
      <c r="UJP102" s="64"/>
      <c r="UJQ102" s="64"/>
      <c r="UJR102" s="64"/>
      <c r="UJS102" s="64"/>
      <c r="UJT102" s="64"/>
      <c r="UJU102" s="64"/>
      <c r="UJV102" s="64"/>
      <c r="UJW102" s="64"/>
      <c r="UJX102" s="64"/>
      <c r="UJY102" s="64"/>
      <c r="UJZ102" s="64"/>
      <c r="UKA102" s="64"/>
      <c r="UKB102" s="64"/>
      <c r="UKC102" s="64"/>
      <c r="UKD102" s="64"/>
      <c r="UKE102" s="64"/>
      <c r="UKF102" s="64"/>
      <c r="UKG102" s="64"/>
      <c r="UKH102" s="64"/>
      <c r="UKI102" s="64"/>
      <c r="UKJ102" s="64"/>
      <c r="UKK102" s="64"/>
      <c r="UKL102" s="64"/>
      <c r="UKM102" s="64"/>
      <c r="UKN102" s="64"/>
      <c r="UKO102" s="64"/>
      <c r="UKP102" s="64"/>
      <c r="UKQ102" s="64"/>
      <c r="UKR102" s="64"/>
      <c r="UKS102" s="64"/>
      <c r="UKT102" s="64"/>
      <c r="UKU102" s="64"/>
      <c r="UKV102" s="64"/>
      <c r="UKW102" s="64"/>
      <c r="UKX102" s="64"/>
      <c r="UKY102" s="64"/>
      <c r="UKZ102" s="64"/>
      <c r="ULA102" s="64"/>
      <c r="ULB102" s="64"/>
      <c r="ULC102" s="64"/>
      <c r="ULD102" s="64"/>
      <c r="ULE102" s="64"/>
      <c r="ULF102" s="64"/>
      <c r="ULG102" s="64"/>
      <c r="ULH102" s="64"/>
      <c r="ULI102" s="64"/>
      <c r="ULJ102" s="64"/>
      <c r="ULK102" s="64"/>
      <c r="ULL102" s="64"/>
      <c r="ULS102" s="64"/>
      <c r="ULT102" s="64"/>
      <c r="ULU102" s="64"/>
      <c r="ULV102" s="64"/>
      <c r="ULW102" s="64"/>
      <c r="ULX102" s="64"/>
      <c r="ULY102" s="64"/>
      <c r="ULZ102" s="64"/>
      <c r="UMA102" s="64"/>
      <c r="UMB102" s="64"/>
      <c r="UMC102" s="64"/>
      <c r="UMD102" s="64"/>
      <c r="UME102" s="64"/>
      <c r="UMF102" s="64"/>
      <c r="UMG102" s="64"/>
      <c r="UMH102" s="64"/>
      <c r="UMI102" s="64"/>
      <c r="UMJ102" s="64"/>
      <c r="UMK102" s="64"/>
      <c r="UML102" s="64"/>
      <c r="UMM102" s="64"/>
      <c r="UMN102" s="64"/>
      <c r="UMO102" s="64"/>
      <c r="UMP102" s="64"/>
      <c r="UMQ102" s="64"/>
      <c r="UMR102" s="64"/>
      <c r="UMS102" s="64"/>
      <c r="UMT102" s="64"/>
      <c r="UMU102" s="64"/>
      <c r="UMV102" s="64"/>
      <c r="UMW102" s="64"/>
      <c r="UMX102" s="64"/>
      <c r="UMY102" s="64"/>
      <c r="UMZ102" s="64"/>
      <c r="UNA102" s="64"/>
      <c r="UNB102" s="64"/>
      <c r="UNC102" s="64"/>
      <c r="UND102" s="64"/>
      <c r="UNE102" s="64"/>
      <c r="UNF102" s="64"/>
      <c r="UNG102" s="64"/>
      <c r="UNH102" s="64"/>
      <c r="UNI102" s="64"/>
      <c r="UNJ102" s="64"/>
      <c r="UNK102" s="64"/>
      <c r="UNL102" s="64"/>
      <c r="UNM102" s="64"/>
      <c r="UNN102" s="64"/>
      <c r="UNO102" s="64"/>
      <c r="UNP102" s="64"/>
      <c r="UNQ102" s="64"/>
      <c r="UNR102" s="64"/>
      <c r="UNS102" s="64"/>
      <c r="UNT102" s="64"/>
      <c r="UNU102" s="64"/>
      <c r="UNV102" s="64"/>
      <c r="UNW102" s="64"/>
      <c r="UNX102" s="64"/>
      <c r="UNY102" s="64"/>
      <c r="UNZ102" s="64"/>
      <c r="UOA102" s="64"/>
      <c r="UOB102" s="64"/>
      <c r="UOC102" s="64"/>
      <c r="UOD102" s="64"/>
      <c r="UOE102" s="64"/>
      <c r="UOF102" s="64"/>
      <c r="UOG102" s="64"/>
      <c r="UOH102" s="64"/>
      <c r="UOI102" s="64"/>
      <c r="UOJ102" s="64"/>
      <c r="UOK102" s="64"/>
      <c r="UOL102" s="64"/>
      <c r="UOM102" s="64"/>
      <c r="UON102" s="64"/>
      <c r="UOO102" s="64"/>
      <c r="UOP102" s="64"/>
      <c r="UOQ102" s="64"/>
      <c r="UOR102" s="64"/>
      <c r="UOS102" s="64"/>
      <c r="UOT102" s="64"/>
      <c r="UOU102" s="64"/>
      <c r="UOV102" s="64"/>
      <c r="UOW102" s="64"/>
      <c r="UOX102" s="64"/>
      <c r="UOY102" s="64"/>
      <c r="UOZ102" s="64"/>
      <c r="UPA102" s="64"/>
      <c r="UPB102" s="64"/>
      <c r="UPC102" s="64"/>
      <c r="UPD102" s="64"/>
      <c r="UPE102" s="64"/>
      <c r="UPF102" s="64"/>
      <c r="UPG102" s="64"/>
      <c r="UPH102" s="64"/>
      <c r="UPI102" s="64"/>
      <c r="UPJ102" s="64"/>
      <c r="UPK102" s="64"/>
      <c r="UPL102" s="64"/>
      <c r="UPM102" s="64"/>
      <c r="UPN102" s="64"/>
      <c r="UPO102" s="64"/>
      <c r="UPP102" s="64"/>
      <c r="UPQ102" s="64"/>
      <c r="UPR102" s="64"/>
      <c r="UPS102" s="64"/>
      <c r="UPT102" s="64"/>
      <c r="UPU102" s="64"/>
      <c r="UPV102" s="64"/>
      <c r="UPW102" s="64"/>
      <c r="UPX102" s="64"/>
      <c r="UPY102" s="64"/>
      <c r="UPZ102" s="64"/>
      <c r="UQA102" s="64"/>
      <c r="UQB102" s="64"/>
      <c r="UQC102" s="64"/>
      <c r="UQD102" s="64"/>
      <c r="UQE102" s="64"/>
      <c r="UQF102" s="64"/>
      <c r="UQG102" s="64"/>
      <c r="UQH102" s="64"/>
      <c r="UQI102" s="64"/>
      <c r="UQJ102" s="64"/>
      <c r="UQK102" s="64"/>
      <c r="UQL102" s="64"/>
      <c r="UQM102" s="64"/>
      <c r="UQN102" s="64"/>
      <c r="UQO102" s="64"/>
      <c r="UQP102" s="64"/>
      <c r="UQQ102" s="64"/>
      <c r="UQR102" s="64"/>
      <c r="UQS102" s="64"/>
      <c r="UQT102" s="64"/>
      <c r="UQU102" s="64"/>
      <c r="UQV102" s="64"/>
      <c r="UQW102" s="64"/>
      <c r="UQX102" s="64"/>
      <c r="UQY102" s="64"/>
      <c r="UQZ102" s="64"/>
      <c r="URA102" s="64"/>
      <c r="URB102" s="64"/>
      <c r="URC102" s="64"/>
      <c r="URD102" s="64"/>
      <c r="URE102" s="64"/>
      <c r="URF102" s="64"/>
      <c r="URG102" s="64"/>
      <c r="URH102" s="64"/>
      <c r="URI102" s="64"/>
      <c r="URJ102" s="64"/>
      <c r="URK102" s="64"/>
      <c r="URL102" s="64"/>
      <c r="URM102" s="64"/>
      <c r="URN102" s="64"/>
      <c r="URO102" s="64"/>
      <c r="URP102" s="64"/>
      <c r="URQ102" s="64"/>
      <c r="URR102" s="64"/>
      <c r="URS102" s="64"/>
      <c r="URT102" s="64"/>
      <c r="URU102" s="64"/>
      <c r="URV102" s="64"/>
      <c r="URW102" s="64"/>
      <c r="URX102" s="64"/>
      <c r="URY102" s="64"/>
      <c r="URZ102" s="64"/>
      <c r="USA102" s="64"/>
      <c r="USB102" s="64"/>
      <c r="USC102" s="64"/>
      <c r="USD102" s="64"/>
      <c r="USE102" s="64"/>
      <c r="USF102" s="64"/>
      <c r="USG102" s="64"/>
      <c r="USH102" s="64"/>
      <c r="USI102" s="64"/>
      <c r="USJ102" s="64"/>
      <c r="USK102" s="64"/>
      <c r="USL102" s="64"/>
      <c r="USM102" s="64"/>
      <c r="USN102" s="64"/>
      <c r="USO102" s="64"/>
      <c r="USP102" s="64"/>
      <c r="USQ102" s="64"/>
      <c r="USR102" s="64"/>
      <c r="USS102" s="64"/>
      <c r="UST102" s="64"/>
      <c r="USU102" s="64"/>
      <c r="USV102" s="64"/>
      <c r="USW102" s="64"/>
      <c r="USX102" s="64"/>
      <c r="USY102" s="64"/>
      <c r="USZ102" s="64"/>
      <c r="UTA102" s="64"/>
      <c r="UTB102" s="64"/>
      <c r="UTC102" s="64"/>
      <c r="UTD102" s="64"/>
      <c r="UTE102" s="64"/>
      <c r="UTF102" s="64"/>
      <c r="UTG102" s="64"/>
      <c r="UTH102" s="64"/>
      <c r="UTI102" s="64"/>
      <c r="UTJ102" s="64"/>
      <c r="UTK102" s="64"/>
      <c r="UTL102" s="64"/>
      <c r="UTM102" s="64"/>
      <c r="UTN102" s="64"/>
      <c r="UTO102" s="64"/>
      <c r="UTP102" s="64"/>
      <c r="UTQ102" s="64"/>
      <c r="UTR102" s="64"/>
      <c r="UTS102" s="64"/>
      <c r="UTT102" s="64"/>
      <c r="UTU102" s="64"/>
      <c r="UTV102" s="64"/>
      <c r="UTW102" s="64"/>
      <c r="UTX102" s="64"/>
      <c r="UTY102" s="64"/>
      <c r="UTZ102" s="64"/>
      <c r="UUA102" s="64"/>
      <c r="UUB102" s="64"/>
      <c r="UUC102" s="64"/>
      <c r="UUD102" s="64"/>
      <c r="UUE102" s="64"/>
      <c r="UUF102" s="64"/>
      <c r="UUG102" s="64"/>
      <c r="UUH102" s="64"/>
      <c r="UUI102" s="64"/>
      <c r="UUJ102" s="64"/>
      <c r="UUK102" s="64"/>
      <c r="UUL102" s="64"/>
      <c r="UUM102" s="64"/>
      <c r="UUN102" s="64"/>
      <c r="UUO102" s="64"/>
      <c r="UUP102" s="64"/>
      <c r="UUQ102" s="64"/>
      <c r="UUR102" s="64"/>
      <c r="UUS102" s="64"/>
      <c r="UUT102" s="64"/>
      <c r="UUU102" s="64"/>
      <c r="UUV102" s="64"/>
      <c r="UUW102" s="64"/>
      <c r="UUX102" s="64"/>
      <c r="UUY102" s="64"/>
      <c r="UUZ102" s="64"/>
      <c r="UVA102" s="64"/>
      <c r="UVB102" s="64"/>
      <c r="UVC102" s="64"/>
      <c r="UVD102" s="64"/>
      <c r="UVE102" s="64"/>
      <c r="UVF102" s="64"/>
      <c r="UVG102" s="64"/>
      <c r="UVH102" s="64"/>
      <c r="UVO102" s="64"/>
      <c r="UVP102" s="64"/>
      <c r="UVQ102" s="64"/>
      <c r="UVR102" s="64"/>
      <c r="UVS102" s="64"/>
      <c r="UVT102" s="64"/>
      <c r="UVU102" s="64"/>
      <c r="UVV102" s="64"/>
      <c r="UVW102" s="64"/>
      <c r="UVX102" s="64"/>
      <c r="UVY102" s="64"/>
      <c r="UVZ102" s="64"/>
      <c r="UWA102" s="64"/>
      <c r="UWB102" s="64"/>
      <c r="UWC102" s="64"/>
      <c r="UWD102" s="64"/>
      <c r="UWE102" s="64"/>
      <c r="UWF102" s="64"/>
      <c r="UWG102" s="64"/>
      <c r="UWH102" s="64"/>
      <c r="UWI102" s="64"/>
      <c r="UWJ102" s="64"/>
      <c r="UWK102" s="64"/>
      <c r="UWL102" s="64"/>
      <c r="UWM102" s="64"/>
      <c r="UWN102" s="64"/>
      <c r="UWO102" s="64"/>
      <c r="UWP102" s="64"/>
      <c r="UWQ102" s="64"/>
      <c r="UWR102" s="64"/>
      <c r="UWS102" s="64"/>
      <c r="UWT102" s="64"/>
      <c r="UWU102" s="64"/>
      <c r="UWV102" s="64"/>
      <c r="UWW102" s="64"/>
      <c r="UWX102" s="64"/>
      <c r="UWY102" s="64"/>
      <c r="UWZ102" s="64"/>
      <c r="UXA102" s="64"/>
      <c r="UXB102" s="64"/>
      <c r="UXC102" s="64"/>
      <c r="UXD102" s="64"/>
      <c r="UXE102" s="64"/>
      <c r="UXF102" s="64"/>
      <c r="UXG102" s="64"/>
      <c r="UXH102" s="64"/>
      <c r="UXI102" s="64"/>
      <c r="UXJ102" s="64"/>
      <c r="UXK102" s="64"/>
      <c r="UXL102" s="64"/>
      <c r="UXM102" s="64"/>
      <c r="UXN102" s="64"/>
      <c r="UXO102" s="64"/>
      <c r="UXP102" s="64"/>
      <c r="UXQ102" s="64"/>
      <c r="UXR102" s="64"/>
      <c r="UXS102" s="64"/>
      <c r="UXT102" s="64"/>
      <c r="UXU102" s="64"/>
      <c r="UXV102" s="64"/>
      <c r="UXW102" s="64"/>
      <c r="UXX102" s="64"/>
      <c r="UXY102" s="64"/>
      <c r="UXZ102" s="64"/>
      <c r="UYA102" s="64"/>
      <c r="UYB102" s="64"/>
      <c r="UYC102" s="64"/>
      <c r="UYD102" s="64"/>
      <c r="UYE102" s="64"/>
      <c r="UYF102" s="64"/>
      <c r="UYG102" s="64"/>
      <c r="UYH102" s="64"/>
      <c r="UYI102" s="64"/>
      <c r="UYJ102" s="64"/>
      <c r="UYK102" s="64"/>
      <c r="UYL102" s="64"/>
      <c r="UYM102" s="64"/>
      <c r="UYN102" s="64"/>
      <c r="UYO102" s="64"/>
      <c r="UYP102" s="64"/>
      <c r="UYQ102" s="64"/>
      <c r="UYR102" s="64"/>
      <c r="UYS102" s="64"/>
      <c r="UYT102" s="64"/>
      <c r="UYU102" s="64"/>
      <c r="UYV102" s="64"/>
      <c r="UYW102" s="64"/>
      <c r="UYX102" s="64"/>
      <c r="UYY102" s="64"/>
      <c r="UYZ102" s="64"/>
      <c r="UZA102" s="64"/>
      <c r="UZB102" s="64"/>
      <c r="UZC102" s="64"/>
      <c r="UZD102" s="64"/>
      <c r="UZE102" s="64"/>
      <c r="UZF102" s="64"/>
      <c r="UZG102" s="64"/>
      <c r="UZH102" s="64"/>
      <c r="UZI102" s="64"/>
      <c r="UZJ102" s="64"/>
      <c r="UZK102" s="64"/>
      <c r="UZL102" s="64"/>
      <c r="UZM102" s="64"/>
      <c r="UZN102" s="64"/>
      <c r="UZO102" s="64"/>
      <c r="UZP102" s="64"/>
      <c r="UZQ102" s="64"/>
      <c r="UZR102" s="64"/>
      <c r="UZS102" s="64"/>
      <c r="UZT102" s="64"/>
      <c r="UZU102" s="64"/>
      <c r="UZV102" s="64"/>
      <c r="UZW102" s="64"/>
      <c r="UZX102" s="64"/>
      <c r="UZY102" s="64"/>
      <c r="UZZ102" s="64"/>
      <c r="VAA102" s="64"/>
      <c r="VAB102" s="64"/>
      <c r="VAC102" s="64"/>
      <c r="VAD102" s="64"/>
      <c r="VAE102" s="64"/>
      <c r="VAF102" s="64"/>
      <c r="VAG102" s="64"/>
      <c r="VAH102" s="64"/>
      <c r="VAI102" s="64"/>
      <c r="VAJ102" s="64"/>
      <c r="VAK102" s="64"/>
      <c r="VAL102" s="64"/>
      <c r="VAM102" s="64"/>
      <c r="VAN102" s="64"/>
      <c r="VAO102" s="64"/>
      <c r="VAP102" s="64"/>
      <c r="VAQ102" s="64"/>
      <c r="VAR102" s="64"/>
      <c r="VAS102" s="64"/>
      <c r="VAT102" s="64"/>
      <c r="VAU102" s="64"/>
      <c r="VAV102" s="64"/>
      <c r="VAW102" s="64"/>
      <c r="VAX102" s="64"/>
      <c r="VAY102" s="64"/>
      <c r="VAZ102" s="64"/>
      <c r="VBA102" s="64"/>
      <c r="VBB102" s="64"/>
      <c r="VBC102" s="64"/>
      <c r="VBD102" s="64"/>
      <c r="VBE102" s="64"/>
      <c r="VBF102" s="64"/>
      <c r="VBG102" s="64"/>
      <c r="VBH102" s="64"/>
      <c r="VBI102" s="64"/>
      <c r="VBJ102" s="64"/>
      <c r="VBK102" s="64"/>
      <c r="VBL102" s="64"/>
      <c r="VBM102" s="64"/>
      <c r="VBN102" s="64"/>
      <c r="VBO102" s="64"/>
      <c r="VBP102" s="64"/>
      <c r="VBQ102" s="64"/>
      <c r="VBR102" s="64"/>
      <c r="VBS102" s="64"/>
      <c r="VBT102" s="64"/>
      <c r="VBU102" s="64"/>
      <c r="VBV102" s="64"/>
      <c r="VBW102" s="64"/>
      <c r="VBX102" s="64"/>
      <c r="VBY102" s="64"/>
      <c r="VBZ102" s="64"/>
      <c r="VCA102" s="64"/>
      <c r="VCB102" s="64"/>
      <c r="VCC102" s="64"/>
      <c r="VCD102" s="64"/>
      <c r="VCE102" s="64"/>
      <c r="VCF102" s="64"/>
      <c r="VCG102" s="64"/>
      <c r="VCH102" s="64"/>
      <c r="VCI102" s="64"/>
      <c r="VCJ102" s="64"/>
      <c r="VCK102" s="64"/>
      <c r="VCL102" s="64"/>
      <c r="VCM102" s="64"/>
      <c r="VCN102" s="64"/>
      <c r="VCO102" s="64"/>
      <c r="VCP102" s="64"/>
      <c r="VCQ102" s="64"/>
      <c r="VCR102" s="64"/>
      <c r="VCS102" s="64"/>
      <c r="VCT102" s="64"/>
      <c r="VCU102" s="64"/>
      <c r="VCV102" s="64"/>
      <c r="VCW102" s="64"/>
      <c r="VCX102" s="64"/>
      <c r="VCY102" s="64"/>
      <c r="VCZ102" s="64"/>
      <c r="VDA102" s="64"/>
      <c r="VDB102" s="64"/>
      <c r="VDC102" s="64"/>
      <c r="VDD102" s="64"/>
      <c r="VDE102" s="64"/>
      <c r="VDF102" s="64"/>
      <c r="VDG102" s="64"/>
      <c r="VDH102" s="64"/>
      <c r="VDI102" s="64"/>
      <c r="VDJ102" s="64"/>
      <c r="VDK102" s="64"/>
      <c r="VDL102" s="64"/>
      <c r="VDM102" s="64"/>
      <c r="VDN102" s="64"/>
      <c r="VDO102" s="64"/>
      <c r="VDP102" s="64"/>
      <c r="VDQ102" s="64"/>
      <c r="VDR102" s="64"/>
      <c r="VDS102" s="64"/>
      <c r="VDT102" s="64"/>
      <c r="VDU102" s="64"/>
      <c r="VDV102" s="64"/>
      <c r="VDW102" s="64"/>
      <c r="VDX102" s="64"/>
      <c r="VDY102" s="64"/>
      <c r="VDZ102" s="64"/>
      <c r="VEA102" s="64"/>
      <c r="VEB102" s="64"/>
      <c r="VEC102" s="64"/>
      <c r="VED102" s="64"/>
      <c r="VEE102" s="64"/>
      <c r="VEF102" s="64"/>
      <c r="VEG102" s="64"/>
      <c r="VEH102" s="64"/>
      <c r="VEI102" s="64"/>
      <c r="VEJ102" s="64"/>
      <c r="VEK102" s="64"/>
      <c r="VEL102" s="64"/>
      <c r="VEM102" s="64"/>
      <c r="VEN102" s="64"/>
      <c r="VEO102" s="64"/>
      <c r="VEP102" s="64"/>
      <c r="VEQ102" s="64"/>
      <c r="VER102" s="64"/>
      <c r="VES102" s="64"/>
      <c r="VET102" s="64"/>
      <c r="VEU102" s="64"/>
      <c r="VEV102" s="64"/>
      <c r="VEW102" s="64"/>
      <c r="VEX102" s="64"/>
      <c r="VEY102" s="64"/>
      <c r="VEZ102" s="64"/>
      <c r="VFA102" s="64"/>
      <c r="VFB102" s="64"/>
      <c r="VFC102" s="64"/>
      <c r="VFD102" s="64"/>
      <c r="VFK102" s="64"/>
      <c r="VFL102" s="64"/>
      <c r="VFM102" s="64"/>
      <c r="VFN102" s="64"/>
      <c r="VFO102" s="64"/>
      <c r="VFP102" s="64"/>
      <c r="VFQ102" s="64"/>
      <c r="VFR102" s="64"/>
      <c r="VFS102" s="64"/>
      <c r="VFT102" s="64"/>
      <c r="VFU102" s="64"/>
      <c r="VFV102" s="64"/>
      <c r="VFW102" s="64"/>
      <c r="VFX102" s="64"/>
      <c r="VFY102" s="64"/>
      <c r="VFZ102" s="64"/>
      <c r="VGA102" s="64"/>
      <c r="VGB102" s="64"/>
      <c r="VGC102" s="64"/>
      <c r="VGD102" s="64"/>
      <c r="VGE102" s="64"/>
      <c r="VGF102" s="64"/>
      <c r="VGG102" s="64"/>
      <c r="VGH102" s="64"/>
      <c r="VGI102" s="64"/>
      <c r="VGJ102" s="64"/>
      <c r="VGK102" s="64"/>
      <c r="VGL102" s="64"/>
      <c r="VGM102" s="64"/>
      <c r="VGN102" s="64"/>
      <c r="VGO102" s="64"/>
      <c r="VGP102" s="64"/>
      <c r="VGQ102" s="64"/>
      <c r="VGR102" s="64"/>
      <c r="VGS102" s="64"/>
      <c r="VGT102" s="64"/>
      <c r="VGU102" s="64"/>
      <c r="VGV102" s="64"/>
      <c r="VGW102" s="64"/>
      <c r="VGX102" s="64"/>
      <c r="VGY102" s="64"/>
      <c r="VGZ102" s="64"/>
      <c r="VHA102" s="64"/>
      <c r="VHB102" s="64"/>
      <c r="VHC102" s="64"/>
      <c r="VHD102" s="64"/>
      <c r="VHE102" s="64"/>
      <c r="VHF102" s="64"/>
      <c r="VHG102" s="64"/>
      <c r="VHH102" s="64"/>
      <c r="VHI102" s="64"/>
      <c r="VHJ102" s="64"/>
      <c r="VHK102" s="64"/>
      <c r="VHL102" s="64"/>
      <c r="VHM102" s="64"/>
      <c r="VHN102" s="64"/>
      <c r="VHO102" s="64"/>
      <c r="VHP102" s="64"/>
      <c r="VHQ102" s="64"/>
      <c r="VHR102" s="64"/>
      <c r="VHS102" s="64"/>
      <c r="VHT102" s="64"/>
      <c r="VHU102" s="64"/>
      <c r="VHV102" s="64"/>
      <c r="VHW102" s="64"/>
      <c r="VHX102" s="64"/>
      <c r="VHY102" s="64"/>
      <c r="VHZ102" s="64"/>
      <c r="VIA102" s="64"/>
      <c r="VIB102" s="64"/>
      <c r="VIC102" s="64"/>
      <c r="VID102" s="64"/>
      <c r="VIE102" s="64"/>
      <c r="VIF102" s="64"/>
      <c r="VIG102" s="64"/>
      <c r="VIH102" s="64"/>
      <c r="VII102" s="64"/>
      <c r="VIJ102" s="64"/>
      <c r="VIK102" s="64"/>
      <c r="VIL102" s="64"/>
      <c r="VIM102" s="64"/>
      <c r="VIN102" s="64"/>
      <c r="VIO102" s="64"/>
      <c r="VIP102" s="64"/>
      <c r="VIQ102" s="64"/>
      <c r="VIR102" s="64"/>
      <c r="VIS102" s="64"/>
      <c r="VIT102" s="64"/>
      <c r="VIU102" s="64"/>
      <c r="VIV102" s="64"/>
      <c r="VIW102" s="64"/>
      <c r="VIX102" s="64"/>
      <c r="VIY102" s="64"/>
      <c r="VIZ102" s="64"/>
      <c r="VJA102" s="64"/>
      <c r="VJB102" s="64"/>
      <c r="VJC102" s="64"/>
      <c r="VJD102" s="64"/>
      <c r="VJE102" s="64"/>
      <c r="VJF102" s="64"/>
      <c r="VJG102" s="64"/>
      <c r="VJH102" s="64"/>
      <c r="VJI102" s="64"/>
      <c r="VJJ102" s="64"/>
      <c r="VJK102" s="64"/>
      <c r="VJL102" s="64"/>
      <c r="VJM102" s="64"/>
      <c r="VJN102" s="64"/>
      <c r="VJO102" s="64"/>
      <c r="VJP102" s="64"/>
      <c r="VJQ102" s="64"/>
      <c r="VJR102" s="64"/>
      <c r="VJS102" s="64"/>
      <c r="VJT102" s="64"/>
      <c r="VJU102" s="64"/>
      <c r="VJV102" s="64"/>
      <c r="VJW102" s="64"/>
      <c r="VJX102" s="64"/>
      <c r="VJY102" s="64"/>
      <c r="VJZ102" s="64"/>
      <c r="VKA102" s="64"/>
      <c r="VKB102" s="64"/>
      <c r="VKC102" s="64"/>
      <c r="VKD102" s="64"/>
      <c r="VKE102" s="64"/>
      <c r="VKF102" s="64"/>
      <c r="VKG102" s="64"/>
      <c r="VKH102" s="64"/>
      <c r="VKI102" s="64"/>
      <c r="VKJ102" s="64"/>
      <c r="VKK102" s="64"/>
      <c r="VKL102" s="64"/>
      <c r="VKM102" s="64"/>
      <c r="VKN102" s="64"/>
      <c r="VKO102" s="64"/>
      <c r="VKP102" s="64"/>
      <c r="VKQ102" s="64"/>
      <c r="VKR102" s="64"/>
      <c r="VKS102" s="64"/>
      <c r="VKT102" s="64"/>
      <c r="VKU102" s="64"/>
      <c r="VKV102" s="64"/>
      <c r="VKW102" s="64"/>
      <c r="VKX102" s="64"/>
      <c r="VKY102" s="64"/>
      <c r="VKZ102" s="64"/>
      <c r="VLA102" s="64"/>
      <c r="VLB102" s="64"/>
      <c r="VLC102" s="64"/>
      <c r="VLD102" s="64"/>
      <c r="VLE102" s="64"/>
      <c r="VLF102" s="64"/>
      <c r="VLG102" s="64"/>
      <c r="VLH102" s="64"/>
      <c r="VLI102" s="64"/>
      <c r="VLJ102" s="64"/>
      <c r="VLK102" s="64"/>
      <c r="VLL102" s="64"/>
      <c r="VLM102" s="64"/>
      <c r="VLN102" s="64"/>
      <c r="VLO102" s="64"/>
      <c r="VLP102" s="64"/>
      <c r="VLQ102" s="64"/>
      <c r="VLR102" s="64"/>
      <c r="VLS102" s="64"/>
      <c r="VLT102" s="64"/>
      <c r="VLU102" s="64"/>
      <c r="VLV102" s="64"/>
      <c r="VLW102" s="64"/>
      <c r="VLX102" s="64"/>
      <c r="VLY102" s="64"/>
      <c r="VLZ102" s="64"/>
      <c r="VMA102" s="64"/>
      <c r="VMB102" s="64"/>
      <c r="VMC102" s="64"/>
      <c r="VMD102" s="64"/>
      <c r="VME102" s="64"/>
      <c r="VMF102" s="64"/>
      <c r="VMG102" s="64"/>
      <c r="VMH102" s="64"/>
      <c r="VMI102" s="64"/>
      <c r="VMJ102" s="64"/>
      <c r="VMK102" s="64"/>
      <c r="VML102" s="64"/>
      <c r="VMM102" s="64"/>
      <c r="VMN102" s="64"/>
      <c r="VMO102" s="64"/>
      <c r="VMP102" s="64"/>
      <c r="VMQ102" s="64"/>
      <c r="VMR102" s="64"/>
      <c r="VMS102" s="64"/>
      <c r="VMT102" s="64"/>
      <c r="VMU102" s="64"/>
      <c r="VMV102" s="64"/>
      <c r="VMW102" s="64"/>
      <c r="VMX102" s="64"/>
      <c r="VMY102" s="64"/>
      <c r="VMZ102" s="64"/>
      <c r="VNA102" s="64"/>
      <c r="VNB102" s="64"/>
      <c r="VNC102" s="64"/>
      <c r="VND102" s="64"/>
      <c r="VNE102" s="64"/>
      <c r="VNF102" s="64"/>
      <c r="VNG102" s="64"/>
      <c r="VNH102" s="64"/>
      <c r="VNI102" s="64"/>
      <c r="VNJ102" s="64"/>
      <c r="VNK102" s="64"/>
      <c r="VNL102" s="64"/>
      <c r="VNM102" s="64"/>
      <c r="VNN102" s="64"/>
      <c r="VNO102" s="64"/>
      <c r="VNP102" s="64"/>
      <c r="VNQ102" s="64"/>
      <c r="VNR102" s="64"/>
      <c r="VNS102" s="64"/>
      <c r="VNT102" s="64"/>
      <c r="VNU102" s="64"/>
      <c r="VNV102" s="64"/>
      <c r="VNW102" s="64"/>
      <c r="VNX102" s="64"/>
      <c r="VNY102" s="64"/>
      <c r="VNZ102" s="64"/>
      <c r="VOA102" s="64"/>
      <c r="VOB102" s="64"/>
      <c r="VOC102" s="64"/>
      <c r="VOD102" s="64"/>
      <c r="VOE102" s="64"/>
      <c r="VOF102" s="64"/>
      <c r="VOG102" s="64"/>
      <c r="VOH102" s="64"/>
      <c r="VOI102" s="64"/>
      <c r="VOJ102" s="64"/>
      <c r="VOK102" s="64"/>
      <c r="VOL102" s="64"/>
      <c r="VOM102" s="64"/>
      <c r="VON102" s="64"/>
      <c r="VOO102" s="64"/>
      <c r="VOP102" s="64"/>
      <c r="VOQ102" s="64"/>
      <c r="VOR102" s="64"/>
      <c r="VOS102" s="64"/>
      <c r="VOT102" s="64"/>
      <c r="VOU102" s="64"/>
      <c r="VOV102" s="64"/>
      <c r="VOW102" s="64"/>
      <c r="VOX102" s="64"/>
      <c r="VOY102" s="64"/>
      <c r="VOZ102" s="64"/>
      <c r="VPG102" s="64"/>
      <c r="VPH102" s="64"/>
      <c r="VPI102" s="64"/>
      <c r="VPJ102" s="64"/>
      <c r="VPK102" s="64"/>
      <c r="VPL102" s="64"/>
      <c r="VPM102" s="64"/>
      <c r="VPN102" s="64"/>
      <c r="VPO102" s="64"/>
      <c r="VPP102" s="64"/>
      <c r="VPQ102" s="64"/>
      <c r="VPR102" s="64"/>
      <c r="VPS102" s="64"/>
      <c r="VPT102" s="64"/>
      <c r="VPU102" s="64"/>
      <c r="VPV102" s="64"/>
      <c r="VPW102" s="64"/>
      <c r="VPX102" s="64"/>
      <c r="VPY102" s="64"/>
      <c r="VPZ102" s="64"/>
      <c r="VQA102" s="64"/>
      <c r="VQB102" s="64"/>
      <c r="VQC102" s="64"/>
      <c r="VQD102" s="64"/>
      <c r="VQE102" s="64"/>
      <c r="VQF102" s="64"/>
      <c r="VQG102" s="64"/>
      <c r="VQH102" s="64"/>
      <c r="VQI102" s="64"/>
      <c r="VQJ102" s="64"/>
      <c r="VQK102" s="64"/>
      <c r="VQL102" s="64"/>
      <c r="VQM102" s="64"/>
      <c r="VQN102" s="64"/>
      <c r="VQO102" s="64"/>
      <c r="VQP102" s="64"/>
      <c r="VQQ102" s="64"/>
      <c r="VQR102" s="64"/>
      <c r="VQS102" s="64"/>
      <c r="VQT102" s="64"/>
      <c r="VQU102" s="64"/>
      <c r="VQV102" s="64"/>
      <c r="VQW102" s="64"/>
      <c r="VQX102" s="64"/>
      <c r="VQY102" s="64"/>
      <c r="VQZ102" s="64"/>
      <c r="VRA102" s="64"/>
      <c r="VRB102" s="64"/>
      <c r="VRC102" s="64"/>
      <c r="VRD102" s="64"/>
      <c r="VRE102" s="64"/>
      <c r="VRF102" s="64"/>
      <c r="VRG102" s="64"/>
      <c r="VRH102" s="64"/>
      <c r="VRI102" s="64"/>
      <c r="VRJ102" s="64"/>
      <c r="VRK102" s="64"/>
      <c r="VRL102" s="64"/>
      <c r="VRM102" s="64"/>
      <c r="VRN102" s="64"/>
      <c r="VRO102" s="64"/>
      <c r="VRP102" s="64"/>
      <c r="VRQ102" s="64"/>
      <c r="VRR102" s="64"/>
      <c r="VRS102" s="64"/>
      <c r="VRT102" s="64"/>
      <c r="VRU102" s="64"/>
      <c r="VRV102" s="64"/>
      <c r="VRW102" s="64"/>
      <c r="VRX102" s="64"/>
      <c r="VRY102" s="64"/>
      <c r="VRZ102" s="64"/>
      <c r="VSA102" s="64"/>
      <c r="VSB102" s="64"/>
      <c r="VSC102" s="64"/>
      <c r="VSD102" s="64"/>
      <c r="VSE102" s="64"/>
      <c r="VSF102" s="64"/>
      <c r="VSG102" s="64"/>
      <c r="VSH102" s="64"/>
      <c r="VSI102" s="64"/>
      <c r="VSJ102" s="64"/>
      <c r="VSK102" s="64"/>
      <c r="VSL102" s="64"/>
      <c r="VSM102" s="64"/>
      <c r="VSN102" s="64"/>
      <c r="VSO102" s="64"/>
      <c r="VSP102" s="64"/>
      <c r="VSQ102" s="64"/>
      <c r="VSR102" s="64"/>
      <c r="VSS102" s="64"/>
      <c r="VST102" s="64"/>
      <c r="VSU102" s="64"/>
      <c r="VSV102" s="64"/>
      <c r="VSW102" s="64"/>
      <c r="VSX102" s="64"/>
      <c r="VSY102" s="64"/>
      <c r="VSZ102" s="64"/>
      <c r="VTA102" s="64"/>
      <c r="VTB102" s="64"/>
      <c r="VTC102" s="64"/>
      <c r="VTD102" s="64"/>
      <c r="VTE102" s="64"/>
      <c r="VTF102" s="64"/>
      <c r="VTG102" s="64"/>
      <c r="VTH102" s="64"/>
      <c r="VTI102" s="64"/>
      <c r="VTJ102" s="64"/>
      <c r="VTK102" s="64"/>
      <c r="VTL102" s="64"/>
      <c r="VTM102" s="64"/>
      <c r="VTN102" s="64"/>
      <c r="VTO102" s="64"/>
      <c r="VTP102" s="64"/>
      <c r="VTQ102" s="64"/>
      <c r="VTR102" s="64"/>
      <c r="VTS102" s="64"/>
      <c r="VTT102" s="64"/>
      <c r="VTU102" s="64"/>
      <c r="VTV102" s="64"/>
      <c r="VTW102" s="64"/>
      <c r="VTX102" s="64"/>
      <c r="VTY102" s="64"/>
      <c r="VTZ102" s="64"/>
      <c r="VUA102" s="64"/>
      <c r="VUB102" s="64"/>
      <c r="VUC102" s="64"/>
      <c r="VUD102" s="64"/>
      <c r="VUE102" s="64"/>
      <c r="VUF102" s="64"/>
      <c r="VUG102" s="64"/>
      <c r="VUH102" s="64"/>
      <c r="VUI102" s="64"/>
      <c r="VUJ102" s="64"/>
      <c r="VUK102" s="64"/>
      <c r="VUL102" s="64"/>
      <c r="VUM102" s="64"/>
      <c r="VUN102" s="64"/>
      <c r="VUO102" s="64"/>
      <c r="VUP102" s="64"/>
      <c r="VUQ102" s="64"/>
      <c r="VUR102" s="64"/>
      <c r="VUS102" s="64"/>
      <c r="VUT102" s="64"/>
      <c r="VUU102" s="64"/>
      <c r="VUV102" s="64"/>
      <c r="VUW102" s="64"/>
      <c r="VUX102" s="64"/>
      <c r="VUY102" s="64"/>
      <c r="VUZ102" s="64"/>
      <c r="VVA102" s="64"/>
      <c r="VVB102" s="64"/>
      <c r="VVC102" s="64"/>
      <c r="VVD102" s="64"/>
      <c r="VVE102" s="64"/>
      <c r="VVF102" s="64"/>
      <c r="VVG102" s="64"/>
      <c r="VVH102" s="64"/>
      <c r="VVI102" s="64"/>
      <c r="VVJ102" s="64"/>
      <c r="VVK102" s="64"/>
      <c r="VVL102" s="64"/>
      <c r="VVM102" s="64"/>
      <c r="VVN102" s="64"/>
      <c r="VVO102" s="64"/>
      <c r="VVP102" s="64"/>
      <c r="VVQ102" s="64"/>
      <c r="VVR102" s="64"/>
      <c r="VVS102" s="64"/>
      <c r="VVT102" s="64"/>
      <c r="VVU102" s="64"/>
      <c r="VVV102" s="64"/>
      <c r="VVW102" s="64"/>
      <c r="VVX102" s="64"/>
      <c r="VVY102" s="64"/>
      <c r="VVZ102" s="64"/>
      <c r="VWA102" s="64"/>
      <c r="VWB102" s="64"/>
      <c r="VWC102" s="64"/>
      <c r="VWD102" s="64"/>
      <c r="VWE102" s="64"/>
      <c r="VWF102" s="64"/>
      <c r="VWG102" s="64"/>
      <c r="VWH102" s="64"/>
      <c r="VWI102" s="64"/>
      <c r="VWJ102" s="64"/>
      <c r="VWK102" s="64"/>
      <c r="VWL102" s="64"/>
      <c r="VWM102" s="64"/>
      <c r="VWN102" s="64"/>
      <c r="VWO102" s="64"/>
      <c r="VWP102" s="64"/>
      <c r="VWQ102" s="64"/>
      <c r="VWR102" s="64"/>
      <c r="VWS102" s="64"/>
      <c r="VWT102" s="64"/>
      <c r="VWU102" s="64"/>
      <c r="VWV102" s="64"/>
      <c r="VWW102" s="64"/>
      <c r="VWX102" s="64"/>
      <c r="VWY102" s="64"/>
      <c r="VWZ102" s="64"/>
      <c r="VXA102" s="64"/>
      <c r="VXB102" s="64"/>
      <c r="VXC102" s="64"/>
      <c r="VXD102" s="64"/>
      <c r="VXE102" s="64"/>
      <c r="VXF102" s="64"/>
      <c r="VXG102" s="64"/>
      <c r="VXH102" s="64"/>
      <c r="VXI102" s="64"/>
      <c r="VXJ102" s="64"/>
      <c r="VXK102" s="64"/>
      <c r="VXL102" s="64"/>
      <c r="VXM102" s="64"/>
      <c r="VXN102" s="64"/>
      <c r="VXO102" s="64"/>
      <c r="VXP102" s="64"/>
      <c r="VXQ102" s="64"/>
      <c r="VXR102" s="64"/>
      <c r="VXS102" s="64"/>
      <c r="VXT102" s="64"/>
      <c r="VXU102" s="64"/>
      <c r="VXV102" s="64"/>
      <c r="VXW102" s="64"/>
      <c r="VXX102" s="64"/>
      <c r="VXY102" s="64"/>
      <c r="VXZ102" s="64"/>
      <c r="VYA102" s="64"/>
      <c r="VYB102" s="64"/>
      <c r="VYC102" s="64"/>
      <c r="VYD102" s="64"/>
      <c r="VYE102" s="64"/>
      <c r="VYF102" s="64"/>
      <c r="VYG102" s="64"/>
      <c r="VYH102" s="64"/>
      <c r="VYI102" s="64"/>
      <c r="VYJ102" s="64"/>
      <c r="VYK102" s="64"/>
      <c r="VYL102" s="64"/>
      <c r="VYM102" s="64"/>
      <c r="VYN102" s="64"/>
      <c r="VYO102" s="64"/>
      <c r="VYP102" s="64"/>
      <c r="VYQ102" s="64"/>
      <c r="VYR102" s="64"/>
      <c r="VYS102" s="64"/>
      <c r="VYT102" s="64"/>
      <c r="VYU102" s="64"/>
      <c r="VYV102" s="64"/>
      <c r="VZC102" s="64"/>
      <c r="VZD102" s="64"/>
      <c r="VZE102" s="64"/>
      <c r="VZF102" s="64"/>
      <c r="VZG102" s="64"/>
      <c r="VZH102" s="64"/>
      <c r="VZI102" s="64"/>
      <c r="VZJ102" s="64"/>
      <c r="VZK102" s="64"/>
      <c r="VZL102" s="64"/>
      <c r="VZM102" s="64"/>
      <c r="VZN102" s="64"/>
      <c r="VZO102" s="64"/>
      <c r="VZP102" s="64"/>
      <c r="VZQ102" s="64"/>
      <c r="VZR102" s="64"/>
      <c r="VZS102" s="64"/>
      <c r="VZT102" s="64"/>
      <c r="VZU102" s="64"/>
      <c r="VZV102" s="64"/>
      <c r="VZW102" s="64"/>
      <c r="VZX102" s="64"/>
      <c r="VZY102" s="64"/>
      <c r="VZZ102" s="64"/>
      <c r="WAA102" s="64"/>
      <c r="WAB102" s="64"/>
      <c r="WAC102" s="64"/>
      <c r="WAD102" s="64"/>
      <c r="WAE102" s="64"/>
      <c r="WAF102" s="64"/>
      <c r="WAG102" s="64"/>
      <c r="WAH102" s="64"/>
      <c r="WAI102" s="64"/>
      <c r="WAJ102" s="64"/>
      <c r="WAK102" s="64"/>
      <c r="WAL102" s="64"/>
      <c r="WAM102" s="64"/>
      <c r="WAN102" s="64"/>
      <c r="WAO102" s="64"/>
      <c r="WAP102" s="64"/>
      <c r="WAQ102" s="64"/>
      <c r="WAR102" s="64"/>
      <c r="WAS102" s="64"/>
      <c r="WAT102" s="64"/>
      <c r="WAU102" s="64"/>
      <c r="WAV102" s="64"/>
      <c r="WAW102" s="64"/>
      <c r="WAX102" s="64"/>
      <c r="WAY102" s="64"/>
      <c r="WAZ102" s="64"/>
      <c r="WBA102" s="64"/>
      <c r="WBB102" s="64"/>
      <c r="WBC102" s="64"/>
      <c r="WBD102" s="64"/>
      <c r="WBE102" s="64"/>
      <c r="WBF102" s="64"/>
      <c r="WBG102" s="64"/>
      <c r="WBH102" s="64"/>
      <c r="WBI102" s="64"/>
      <c r="WBJ102" s="64"/>
      <c r="WBK102" s="64"/>
      <c r="WBL102" s="64"/>
      <c r="WBM102" s="64"/>
      <c r="WBN102" s="64"/>
      <c r="WBO102" s="64"/>
      <c r="WBP102" s="64"/>
      <c r="WBQ102" s="64"/>
      <c r="WBR102" s="64"/>
      <c r="WBS102" s="64"/>
      <c r="WBT102" s="64"/>
      <c r="WBU102" s="64"/>
      <c r="WBV102" s="64"/>
      <c r="WBW102" s="64"/>
      <c r="WBX102" s="64"/>
      <c r="WBY102" s="64"/>
      <c r="WBZ102" s="64"/>
      <c r="WCA102" s="64"/>
      <c r="WCB102" s="64"/>
      <c r="WCC102" s="64"/>
      <c r="WCD102" s="64"/>
      <c r="WCE102" s="64"/>
      <c r="WCF102" s="64"/>
      <c r="WCG102" s="64"/>
      <c r="WCH102" s="64"/>
      <c r="WCI102" s="64"/>
      <c r="WCJ102" s="64"/>
      <c r="WCK102" s="64"/>
      <c r="WCL102" s="64"/>
      <c r="WCM102" s="64"/>
      <c r="WCN102" s="64"/>
      <c r="WCO102" s="64"/>
      <c r="WCP102" s="64"/>
      <c r="WCQ102" s="64"/>
      <c r="WCR102" s="64"/>
      <c r="WCS102" s="64"/>
      <c r="WCT102" s="64"/>
      <c r="WCU102" s="64"/>
      <c r="WCV102" s="64"/>
      <c r="WCW102" s="64"/>
      <c r="WCX102" s="64"/>
      <c r="WCY102" s="64"/>
      <c r="WCZ102" s="64"/>
      <c r="WDA102" s="64"/>
      <c r="WDB102" s="64"/>
      <c r="WDC102" s="64"/>
      <c r="WDD102" s="64"/>
      <c r="WDE102" s="64"/>
      <c r="WDF102" s="64"/>
      <c r="WDG102" s="64"/>
      <c r="WDH102" s="64"/>
      <c r="WDI102" s="64"/>
      <c r="WDJ102" s="64"/>
      <c r="WDK102" s="64"/>
      <c r="WDL102" s="64"/>
      <c r="WDM102" s="64"/>
      <c r="WDN102" s="64"/>
      <c r="WDO102" s="64"/>
      <c r="WDP102" s="64"/>
      <c r="WDQ102" s="64"/>
      <c r="WDR102" s="64"/>
      <c r="WDS102" s="64"/>
      <c r="WDT102" s="64"/>
      <c r="WDU102" s="64"/>
      <c r="WDV102" s="64"/>
      <c r="WDW102" s="64"/>
      <c r="WDX102" s="64"/>
      <c r="WDY102" s="64"/>
      <c r="WDZ102" s="64"/>
      <c r="WEA102" s="64"/>
      <c r="WEB102" s="64"/>
      <c r="WEC102" s="64"/>
      <c r="WED102" s="64"/>
      <c r="WEE102" s="64"/>
      <c r="WEF102" s="64"/>
      <c r="WEG102" s="64"/>
      <c r="WEH102" s="64"/>
      <c r="WEI102" s="64"/>
      <c r="WEJ102" s="64"/>
      <c r="WEK102" s="64"/>
      <c r="WEL102" s="64"/>
      <c r="WEM102" s="64"/>
      <c r="WEN102" s="64"/>
      <c r="WEO102" s="64"/>
      <c r="WEP102" s="64"/>
      <c r="WEQ102" s="64"/>
      <c r="WER102" s="64"/>
      <c r="WES102" s="64"/>
      <c r="WET102" s="64"/>
      <c r="WEU102" s="64"/>
      <c r="WEV102" s="64"/>
      <c r="WEW102" s="64"/>
      <c r="WEX102" s="64"/>
      <c r="WEY102" s="64"/>
      <c r="WEZ102" s="64"/>
      <c r="WFA102" s="64"/>
      <c r="WFB102" s="64"/>
      <c r="WFC102" s="64"/>
      <c r="WFD102" s="64"/>
      <c r="WFE102" s="64"/>
      <c r="WFF102" s="64"/>
      <c r="WFG102" s="64"/>
      <c r="WFH102" s="64"/>
      <c r="WFI102" s="64"/>
      <c r="WFJ102" s="64"/>
      <c r="WFK102" s="64"/>
      <c r="WFL102" s="64"/>
      <c r="WFM102" s="64"/>
      <c r="WFN102" s="64"/>
      <c r="WFO102" s="64"/>
      <c r="WFP102" s="64"/>
      <c r="WFQ102" s="64"/>
      <c r="WFR102" s="64"/>
      <c r="WFS102" s="64"/>
      <c r="WFT102" s="64"/>
      <c r="WFU102" s="64"/>
      <c r="WFV102" s="64"/>
      <c r="WFW102" s="64"/>
      <c r="WFX102" s="64"/>
      <c r="WFY102" s="64"/>
      <c r="WFZ102" s="64"/>
      <c r="WGA102" s="64"/>
      <c r="WGB102" s="64"/>
      <c r="WGC102" s="64"/>
      <c r="WGD102" s="64"/>
      <c r="WGE102" s="64"/>
      <c r="WGF102" s="64"/>
      <c r="WGG102" s="64"/>
      <c r="WGH102" s="64"/>
      <c r="WGI102" s="64"/>
      <c r="WGJ102" s="64"/>
      <c r="WGK102" s="64"/>
      <c r="WGL102" s="64"/>
      <c r="WGM102" s="64"/>
      <c r="WGN102" s="64"/>
      <c r="WGO102" s="64"/>
      <c r="WGP102" s="64"/>
      <c r="WGQ102" s="64"/>
      <c r="WGR102" s="64"/>
      <c r="WGS102" s="64"/>
      <c r="WGT102" s="64"/>
      <c r="WGU102" s="64"/>
      <c r="WGV102" s="64"/>
      <c r="WGW102" s="64"/>
      <c r="WGX102" s="64"/>
      <c r="WGY102" s="64"/>
      <c r="WGZ102" s="64"/>
      <c r="WHA102" s="64"/>
      <c r="WHB102" s="64"/>
      <c r="WHC102" s="64"/>
      <c r="WHD102" s="64"/>
      <c r="WHE102" s="64"/>
      <c r="WHF102" s="64"/>
      <c r="WHG102" s="64"/>
      <c r="WHH102" s="64"/>
      <c r="WHI102" s="64"/>
      <c r="WHJ102" s="64"/>
      <c r="WHK102" s="64"/>
      <c r="WHL102" s="64"/>
      <c r="WHM102" s="64"/>
      <c r="WHN102" s="64"/>
      <c r="WHO102" s="64"/>
      <c r="WHP102" s="64"/>
      <c r="WHQ102" s="64"/>
      <c r="WHR102" s="64"/>
      <c r="WHS102" s="64"/>
      <c r="WHT102" s="64"/>
      <c r="WHU102" s="64"/>
      <c r="WHV102" s="64"/>
      <c r="WHW102" s="64"/>
      <c r="WHX102" s="64"/>
      <c r="WHY102" s="64"/>
      <c r="WHZ102" s="64"/>
      <c r="WIA102" s="64"/>
      <c r="WIB102" s="64"/>
      <c r="WIC102" s="64"/>
      <c r="WID102" s="64"/>
      <c r="WIE102" s="64"/>
      <c r="WIF102" s="64"/>
      <c r="WIG102" s="64"/>
      <c r="WIH102" s="64"/>
      <c r="WII102" s="64"/>
      <c r="WIJ102" s="64"/>
      <c r="WIK102" s="64"/>
      <c r="WIL102" s="64"/>
      <c r="WIM102" s="64"/>
      <c r="WIN102" s="64"/>
      <c r="WIO102" s="64"/>
      <c r="WIP102" s="64"/>
      <c r="WIQ102" s="64"/>
      <c r="WIR102" s="64"/>
      <c r="WIY102" s="64"/>
      <c r="WIZ102" s="64"/>
      <c r="WJA102" s="64"/>
      <c r="WJB102" s="64"/>
      <c r="WJC102" s="64"/>
      <c r="WJD102" s="64"/>
      <c r="WJE102" s="64"/>
      <c r="WJF102" s="64"/>
      <c r="WJG102" s="64"/>
      <c r="WJH102" s="64"/>
      <c r="WJI102" s="64"/>
      <c r="WJJ102" s="64"/>
      <c r="WJK102" s="64"/>
      <c r="WJL102" s="64"/>
      <c r="WJM102" s="64"/>
      <c r="WJN102" s="64"/>
      <c r="WJO102" s="64"/>
      <c r="WJP102" s="64"/>
      <c r="WJQ102" s="64"/>
      <c r="WJR102" s="64"/>
      <c r="WJS102" s="64"/>
      <c r="WJT102" s="64"/>
      <c r="WJU102" s="64"/>
      <c r="WJV102" s="64"/>
      <c r="WJW102" s="64"/>
      <c r="WJX102" s="64"/>
      <c r="WJY102" s="64"/>
      <c r="WJZ102" s="64"/>
      <c r="WKA102" s="64"/>
      <c r="WKB102" s="64"/>
      <c r="WKC102" s="64"/>
      <c r="WKD102" s="64"/>
      <c r="WKE102" s="64"/>
      <c r="WKF102" s="64"/>
      <c r="WKG102" s="64"/>
      <c r="WKH102" s="64"/>
      <c r="WKI102" s="64"/>
      <c r="WKJ102" s="64"/>
      <c r="WKK102" s="64"/>
      <c r="WKL102" s="64"/>
      <c r="WKM102" s="64"/>
      <c r="WKN102" s="64"/>
      <c r="WKO102" s="64"/>
      <c r="WKP102" s="64"/>
      <c r="WKQ102" s="64"/>
      <c r="WKR102" s="64"/>
      <c r="WKS102" s="64"/>
      <c r="WKT102" s="64"/>
      <c r="WKU102" s="64"/>
      <c r="WKV102" s="64"/>
      <c r="WKW102" s="64"/>
      <c r="WKX102" s="64"/>
      <c r="WKY102" s="64"/>
      <c r="WKZ102" s="64"/>
      <c r="WLA102" s="64"/>
      <c r="WLB102" s="64"/>
      <c r="WLC102" s="64"/>
      <c r="WLD102" s="64"/>
      <c r="WLE102" s="64"/>
      <c r="WLF102" s="64"/>
      <c r="WLG102" s="64"/>
      <c r="WLH102" s="64"/>
      <c r="WLI102" s="64"/>
      <c r="WLJ102" s="64"/>
      <c r="WLK102" s="64"/>
      <c r="WLL102" s="64"/>
      <c r="WLM102" s="64"/>
      <c r="WLN102" s="64"/>
      <c r="WLO102" s="64"/>
      <c r="WLP102" s="64"/>
      <c r="WLQ102" s="64"/>
      <c r="WLR102" s="64"/>
      <c r="WLS102" s="64"/>
      <c r="WLT102" s="64"/>
      <c r="WLU102" s="64"/>
      <c r="WLV102" s="64"/>
      <c r="WLW102" s="64"/>
      <c r="WLX102" s="64"/>
      <c r="WLY102" s="64"/>
      <c r="WLZ102" s="64"/>
      <c r="WMA102" s="64"/>
      <c r="WMB102" s="64"/>
      <c r="WMC102" s="64"/>
      <c r="WMD102" s="64"/>
      <c r="WME102" s="64"/>
      <c r="WMF102" s="64"/>
      <c r="WMG102" s="64"/>
      <c r="WMH102" s="64"/>
      <c r="WMI102" s="64"/>
      <c r="WMJ102" s="64"/>
      <c r="WMK102" s="64"/>
      <c r="WML102" s="64"/>
      <c r="WMM102" s="64"/>
      <c r="WMN102" s="64"/>
      <c r="WMO102" s="64"/>
      <c r="WMP102" s="64"/>
      <c r="WMQ102" s="64"/>
      <c r="WMR102" s="64"/>
      <c r="WMS102" s="64"/>
      <c r="WMT102" s="64"/>
      <c r="WMU102" s="64"/>
      <c r="WMV102" s="64"/>
      <c r="WMW102" s="64"/>
      <c r="WMX102" s="64"/>
      <c r="WMY102" s="64"/>
      <c r="WMZ102" s="64"/>
      <c r="WNA102" s="64"/>
      <c r="WNB102" s="64"/>
      <c r="WNC102" s="64"/>
      <c r="WND102" s="64"/>
      <c r="WNE102" s="64"/>
      <c r="WNF102" s="64"/>
      <c r="WNG102" s="64"/>
      <c r="WNH102" s="64"/>
      <c r="WNI102" s="64"/>
      <c r="WNJ102" s="64"/>
      <c r="WNK102" s="64"/>
      <c r="WNL102" s="64"/>
      <c r="WNM102" s="64"/>
      <c r="WNN102" s="64"/>
      <c r="WNO102" s="64"/>
      <c r="WNP102" s="64"/>
      <c r="WNQ102" s="64"/>
      <c r="WNR102" s="64"/>
      <c r="WNS102" s="64"/>
      <c r="WNT102" s="64"/>
      <c r="WNU102" s="64"/>
      <c r="WNV102" s="64"/>
      <c r="WNW102" s="64"/>
      <c r="WNX102" s="64"/>
      <c r="WNY102" s="64"/>
      <c r="WNZ102" s="64"/>
      <c r="WOA102" s="64"/>
      <c r="WOB102" s="64"/>
      <c r="WOC102" s="64"/>
      <c r="WOD102" s="64"/>
      <c r="WOE102" s="64"/>
      <c r="WOF102" s="64"/>
      <c r="WOG102" s="64"/>
      <c r="WOH102" s="64"/>
      <c r="WOI102" s="64"/>
      <c r="WOJ102" s="64"/>
      <c r="WOK102" s="64"/>
      <c r="WOL102" s="64"/>
      <c r="WOM102" s="64"/>
      <c r="WON102" s="64"/>
      <c r="WOO102" s="64"/>
      <c r="WOP102" s="64"/>
      <c r="WOQ102" s="64"/>
      <c r="WOR102" s="64"/>
      <c r="WOS102" s="64"/>
      <c r="WOT102" s="64"/>
      <c r="WOU102" s="64"/>
      <c r="WOV102" s="64"/>
      <c r="WOW102" s="64"/>
      <c r="WOX102" s="64"/>
      <c r="WOY102" s="64"/>
      <c r="WOZ102" s="64"/>
      <c r="WPA102" s="64"/>
      <c r="WPB102" s="64"/>
      <c r="WPC102" s="64"/>
      <c r="WPD102" s="64"/>
      <c r="WPE102" s="64"/>
      <c r="WPF102" s="64"/>
      <c r="WPG102" s="64"/>
      <c r="WPH102" s="64"/>
      <c r="WPI102" s="64"/>
      <c r="WPJ102" s="64"/>
      <c r="WPK102" s="64"/>
      <c r="WPL102" s="64"/>
      <c r="WPM102" s="64"/>
      <c r="WPN102" s="64"/>
      <c r="WPO102" s="64"/>
      <c r="WPP102" s="64"/>
      <c r="WPQ102" s="64"/>
      <c r="WPR102" s="64"/>
      <c r="WPS102" s="64"/>
      <c r="WPT102" s="64"/>
      <c r="WPU102" s="64"/>
      <c r="WPV102" s="64"/>
      <c r="WPW102" s="64"/>
      <c r="WPX102" s="64"/>
      <c r="WPY102" s="64"/>
      <c r="WPZ102" s="64"/>
      <c r="WQA102" s="64"/>
      <c r="WQB102" s="64"/>
      <c r="WQC102" s="64"/>
      <c r="WQD102" s="64"/>
      <c r="WQE102" s="64"/>
      <c r="WQF102" s="64"/>
      <c r="WQG102" s="64"/>
      <c r="WQH102" s="64"/>
      <c r="WQI102" s="64"/>
      <c r="WQJ102" s="64"/>
      <c r="WQK102" s="64"/>
      <c r="WQL102" s="64"/>
      <c r="WQM102" s="64"/>
      <c r="WQN102" s="64"/>
      <c r="WQO102" s="64"/>
      <c r="WQP102" s="64"/>
      <c r="WQQ102" s="64"/>
      <c r="WQR102" s="64"/>
      <c r="WQS102" s="64"/>
      <c r="WQT102" s="64"/>
      <c r="WQU102" s="64"/>
      <c r="WQV102" s="64"/>
      <c r="WQW102" s="64"/>
      <c r="WQX102" s="64"/>
      <c r="WQY102" s="64"/>
      <c r="WQZ102" s="64"/>
      <c r="WRA102" s="64"/>
      <c r="WRB102" s="64"/>
      <c r="WRC102" s="64"/>
      <c r="WRD102" s="64"/>
      <c r="WRE102" s="64"/>
      <c r="WRF102" s="64"/>
      <c r="WRG102" s="64"/>
      <c r="WRH102" s="64"/>
      <c r="WRI102" s="64"/>
      <c r="WRJ102" s="64"/>
      <c r="WRK102" s="64"/>
      <c r="WRL102" s="64"/>
      <c r="WRM102" s="64"/>
      <c r="WRN102" s="64"/>
      <c r="WRO102" s="64"/>
      <c r="WRP102" s="64"/>
      <c r="WRQ102" s="64"/>
      <c r="WRR102" s="64"/>
      <c r="WRS102" s="64"/>
      <c r="WRT102" s="64"/>
      <c r="WRU102" s="64"/>
      <c r="WRV102" s="64"/>
      <c r="WRW102" s="64"/>
      <c r="WRX102" s="64"/>
      <c r="WRY102" s="64"/>
      <c r="WRZ102" s="64"/>
      <c r="WSA102" s="64"/>
      <c r="WSB102" s="64"/>
      <c r="WSC102" s="64"/>
      <c r="WSD102" s="64"/>
      <c r="WSE102" s="64"/>
      <c r="WSF102" s="64"/>
      <c r="WSG102" s="64"/>
      <c r="WSH102" s="64"/>
      <c r="WSI102" s="64"/>
      <c r="WSJ102" s="64"/>
      <c r="WSK102" s="64"/>
      <c r="WSL102" s="64"/>
      <c r="WSM102" s="64"/>
      <c r="WSN102" s="64"/>
      <c r="WSU102" s="64"/>
      <c r="WSV102" s="64"/>
      <c r="WSW102" s="64"/>
      <c r="WSX102" s="64"/>
      <c r="WSY102" s="64"/>
      <c r="WSZ102" s="64"/>
      <c r="WTA102" s="64"/>
      <c r="WTB102" s="64"/>
      <c r="WTC102" s="64"/>
      <c r="WTD102" s="64"/>
      <c r="WTE102" s="64"/>
      <c r="WTF102" s="64"/>
      <c r="WTG102" s="64"/>
      <c r="WTH102" s="64"/>
      <c r="WTI102" s="64"/>
      <c r="WTJ102" s="64"/>
      <c r="WTK102" s="64"/>
      <c r="WTL102" s="64"/>
      <c r="WTM102" s="64"/>
      <c r="WTN102" s="64"/>
      <c r="WTO102" s="64"/>
      <c r="WTP102" s="64"/>
      <c r="WTQ102" s="64"/>
      <c r="WTR102" s="64"/>
      <c r="WTS102" s="64"/>
      <c r="WTT102" s="64"/>
      <c r="WTU102" s="64"/>
      <c r="WTV102" s="64"/>
      <c r="WTW102" s="64"/>
      <c r="WTX102" s="64"/>
      <c r="WTY102" s="64"/>
      <c r="WTZ102" s="64"/>
      <c r="WUA102" s="64"/>
      <c r="WUB102" s="64"/>
      <c r="WUC102" s="64"/>
      <c r="WUD102" s="64"/>
      <c r="WUE102" s="64"/>
      <c r="WUF102" s="64"/>
      <c r="WUG102" s="64"/>
      <c r="WUH102" s="64"/>
      <c r="WUI102" s="64"/>
      <c r="WUJ102" s="64"/>
      <c r="WUK102" s="64"/>
      <c r="WUL102" s="64"/>
      <c r="WUM102" s="64"/>
      <c r="WUN102" s="64"/>
      <c r="WUO102" s="64"/>
      <c r="WUP102" s="64"/>
      <c r="WUQ102" s="64"/>
      <c r="WUR102" s="64"/>
      <c r="WUS102" s="64"/>
      <c r="WUT102" s="64"/>
      <c r="WUU102" s="64"/>
      <c r="WUV102" s="64"/>
      <c r="WUW102" s="64"/>
      <c r="WUX102" s="64"/>
      <c r="WUY102" s="64"/>
      <c r="WUZ102" s="64"/>
      <c r="WVA102" s="64"/>
      <c r="WVB102" s="64"/>
      <c r="WVC102" s="64"/>
      <c r="WVD102" s="64"/>
      <c r="WVE102" s="64"/>
      <c r="WVF102" s="64"/>
      <c r="WVG102" s="64"/>
      <c r="WVH102" s="64"/>
      <c r="WVI102" s="64"/>
      <c r="WVJ102" s="64"/>
      <c r="WVK102" s="64"/>
      <c r="WVL102" s="64"/>
      <c r="WVM102" s="64"/>
      <c r="WVN102" s="64"/>
      <c r="WVO102" s="64"/>
      <c r="WVP102" s="64"/>
      <c r="WVQ102" s="64"/>
      <c r="WVR102" s="64"/>
      <c r="WVS102" s="64"/>
      <c r="WVT102" s="64"/>
      <c r="WVU102" s="64"/>
      <c r="WVV102" s="64"/>
      <c r="WVW102" s="64"/>
      <c r="WVX102" s="64"/>
      <c r="WVY102" s="64"/>
      <c r="WVZ102" s="64"/>
      <c r="WWA102" s="64"/>
      <c r="WWB102" s="64"/>
      <c r="WWC102" s="64"/>
      <c r="WWD102" s="64"/>
      <c r="WWE102" s="64"/>
      <c r="WWF102" s="64"/>
      <c r="WWG102" s="64"/>
      <c r="WWH102" s="64"/>
      <c r="WWI102" s="64"/>
      <c r="WWJ102" s="64"/>
      <c r="WWK102" s="64"/>
      <c r="WWL102" s="64"/>
      <c r="WWM102" s="64"/>
      <c r="WWN102" s="64"/>
      <c r="WWO102" s="64"/>
      <c r="WWP102" s="64"/>
      <c r="WWQ102" s="64"/>
      <c r="WWR102" s="64"/>
      <c r="WWS102" s="64"/>
      <c r="WWT102" s="64"/>
      <c r="WWU102" s="64"/>
      <c r="WWV102" s="64"/>
      <c r="WWW102" s="64"/>
      <c r="WWX102" s="64"/>
      <c r="WWY102" s="64"/>
      <c r="WWZ102" s="64"/>
      <c r="WXA102" s="64"/>
      <c r="WXB102" s="64"/>
      <c r="WXC102" s="64"/>
      <c r="WXD102" s="64"/>
      <c r="WXE102" s="64"/>
      <c r="WXF102" s="64"/>
      <c r="WXG102" s="64"/>
      <c r="WXH102" s="64"/>
      <c r="WXI102" s="64"/>
      <c r="WXJ102" s="64"/>
      <c r="WXK102" s="64"/>
      <c r="WXL102" s="64"/>
      <c r="WXM102" s="64"/>
      <c r="WXN102" s="64"/>
      <c r="WXO102" s="64"/>
      <c r="WXP102" s="64"/>
      <c r="WXQ102" s="64"/>
      <c r="WXR102" s="64"/>
      <c r="WXS102" s="64"/>
      <c r="WXT102" s="64"/>
      <c r="WXU102" s="64"/>
      <c r="WXV102" s="64"/>
      <c r="WXW102" s="64"/>
      <c r="WXX102" s="64"/>
      <c r="WXY102" s="64"/>
      <c r="WXZ102" s="64"/>
      <c r="WYA102" s="64"/>
      <c r="WYB102" s="64"/>
      <c r="WYC102" s="64"/>
      <c r="WYD102" s="64"/>
      <c r="WYE102" s="64"/>
      <c r="WYF102" s="64"/>
      <c r="WYG102" s="64"/>
      <c r="WYH102" s="64"/>
      <c r="WYI102" s="64"/>
      <c r="WYJ102" s="64"/>
      <c r="WYK102" s="64"/>
      <c r="WYL102" s="64"/>
      <c r="WYM102" s="64"/>
      <c r="WYN102" s="64"/>
      <c r="WYO102" s="64"/>
      <c r="WYP102" s="64"/>
      <c r="WYQ102" s="64"/>
      <c r="WYR102" s="64"/>
      <c r="WYS102" s="64"/>
      <c r="WYT102" s="64"/>
      <c r="WYU102" s="64"/>
      <c r="WYV102" s="64"/>
      <c r="WYW102" s="64"/>
      <c r="WYX102" s="64"/>
      <c r="WYY102" s="64"/>
      <c r="WYZ102" s="64"/>
      <c r="WZA102" s="64"/>
      <c r="WZB102" s="64"/>
      <c r="WZC102" s="64"/>
      <c r="WZD102" s="64"/>
      <c r="WZE102" s="64"/>
      <c r="WZF102" s="64"/>
      <c r="WZG102" s="64"/>
      <c r="WZH102" s="64"/>
      <c r="WZI102" s="64"/>
      <c r="WZJ102" s="64"/>
      <c r="WZK102" s="64"/>
      <c r="WZL102" s="64"/>
      <c r="WZM102" s="64"/>
      <c r="WZN102" s="64"/>
      <c r="WZO102" s="64"/>
      <c r="WZP102" s="64"/>
      <c r="WZQ102" s="64"/>
      <c r="WZR102" s="64"/>
      <c r="WZS102" s="64"/>
      <c r="WZT102" s="64"/>
      <c r="WZU102" s="64"/>
      <c r="WZV102" s="64"/>
      <c r="WZW102" s="64"/>
      <c r="WZX102" s="64"/>
      <c r="WZY102" s="64"/>
      <c r="WZZ102" s="64"/>
      <c r="XAA102" s="64"/>
      <c r="XAB102" s="64"/>
      <c r="XAC102" s="64"/>
      <c r="XAD102" s="64"/>
      <c r="XAE102" s="64"/>
      <c r="XAF102" s="64"/>
      <c r="XAG102" s="64"/>
      <c r="XAH102" s="64"/>
      <c r="XAI102" s="64"/>
      <c r="XAJ102" s="64"/>
      <c r="XAK102" s="64"/>
      <c r="XAL102" s="64"/>
      <c r="XAM102" s="64"/>
      <c r="XAN102" s="64"/>
      <c r="XAO102" s="64"/>
      <c r="XAP102" s="64"/>
      <c r="XAQ102" s="64"/>
      <c r="XAR102" s="64"/>
      <c r="XAS102" s="64"/>
      <c r="XAT102" s="64"/>
      <c r="XAU102" s="64"/>
      <c r="XAV102" s="64"/>
      <c r="XAW102" s="64"/>
      <c r="XAX102" s="64"/>
      <c r="XAY102" s="64"/>
      <c r="XAZ102" s="64"/>
      <c r="XBA102" s="64"/>
      <c r="XBB102" s="64"/>
      <c r="XBC102" s="64"/>
      <c r="XBD102" s="64"/>
      <c r="XBE102" s="64"/>
      <c r="XBF102" s="64"/>
      <c r="XBG102" s="64"/>
      <c r="XBH102" s="64"/>
      <c r="XBI102" s="64"/>
      <c r="XBJ102" s="64"/>
      <c r="XBK102" s="64"/>
      <c r="XBL102" s="64"/>
      <c r="XBM102" s="64"/>
      <c r="XBN102" s="64"/>
      <c r="XBO102" s="64"/>
      <c r="XBP102" s="64"/>
      <c r="XBQ102" s="64"/>
      <c r="XBR102" s="64"/>
      <c r="XBS102" s="64"/>
      <c r="XBT102" s="64"/>
      <c r="XBU102" s="64"/>
      <c r="XBV102" s="64"/>
      <c r="XBW102" s="64"/>
      <c r="XBX102" s="64"/>
      <c r="XBY102" s="64"/>
      <c r="XBZ102" s="64"/>
      <c r="XCA102" s="64"/>
      <c r="XCB102" s="64"/>
      <c r="XCC102" s="64"/>
      <c r="XCD102" s="64"/>
      <c r="XCE102" s="64"/>
    </row>
    <row r="103" spans="1:16307" s="88" customFormat="1" ht="15.75" x14ac:dyDescent="0.25">
      <c r="A103" s="70" t="s">
        <v>172</v>
      </c>
      <c r="B103" s="71" t="s">
        <v>485</v>
      </c>
      <c r="C103" s="59">
        <v>800</v>
      </c>
      <c r="D103" s="310">
        <f>'Приложение 4'!F112</f>
        <v>12550000</v>
      </c>
      <c r="E103" s="310">
        <f>'Приложение 4'!G112</f>
        <v>4633000</v>
      </c>
      <c r="F103" s="310">
        <f>'Приложение 4'!H112</f>
        <v>4633000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  <c r="AMK103" s="1"/>
      <c r="AML103" s="1"/>
      <c r="AMM103" s="1"/>
      <c r="AMN103" s="1"/>
      <c r="AMO103" s="1"/>
      <c r="AMP103" s="1"/>
      <c r="AMQ103" s="1"/>
      <c r="AMR103" s="1"/>
      <c r="AMS103" s="1"/>
      <c r="AMT103" s="1"/>
      <c r="AMU103" s="1"/>
      <c r="AMV103" s="1"/>
      <c r="AMW103" s="1"/>
      <c r="AMX103" s="1"/>
      <c r="AMY103" s="1"/>
      <c r="AMZ103" s="1"/>
      <c r="ANA103" s="1"/>
      <c r="ANB103" s="1"/>
      <c r="ANC103" s="1"/>
      <c r="AND103" s="1"/>
      <c r="ANE103" s="1"/>
      <c r="ANF103" s="1"/>
      <c r="ANG103" s="1"/>
      <c r="ANH103" s="1"/>
      <c r="ANI103" s="1"/>
      <c r="ANJ103" s="1"/>
      <c r="ANK103" s="1"/>
      <c r="ANL103" s="1"/>
      <c r="ANM103" s="1"/>
      <c r="ANN103" s="1"/>
      <c r="ANO103" s="1"/>
      <c r="ANP103" s="1"/>
      <c r="ANQ103" s="1"/>
      <c r="ANR103" s="1"/>
      <c r="ANS103" s="1"/>
      <c r="ANT103" s="1"/>
      <c r="ANU103" s="1"/>
      <c r="ANV103" s="1"/>
      <c r="ANW103" s="1"/>
      <c r="ANX103" s="1"/>
      <c r="ANY103" s="1"/>
      <c r="ANZ103" s="1"/>
      <c r="AOA103" s="1"/>
      <c r="AOB103" s="1"/>
      <c r="AOC103" s="1"/>
      <c r="AOD103" s="1"/>
      <c r="AOE103" s="1"/>
      <c r="AOF103" s="1"/>
      <c r="AOG103" s="1"/>
      <c r="AOH103" s="1"/>
      <c r="AOI103" s="1"/>
      <c r="AOJ103" s="1"/>
      <c r="AOK103" s="1"/>
      <c r="AOL103" s="1"/>
      <c r="AOM103" s="1"/>
      <c r="AON103" s="1"/>
      <c r="AOO103" s="1"/>
      <c r="AOP103" s="1"/>
      <c r="AOQ103" s="1"/>
      <c r="AOR103" s="1"/>
      <c r="AOS103" s="1"/>
      <c r="AOT103" s="1"/>
      <c r="AOU103" s="1"/>
      <c r="AOV103" s="1"/>
      <c r="AOW103" s="1"/>
      <c r="AOX103" s="1"/>
      <c r="AOY103" s="1"/>
      <c r="AOZ103" s="1"/>
      <c r="APA103" s="1"/>
      <c r="APB103" s="1"/>
      <c r="APC103" s="1"/>
      <c r="APD103" s="1"/>
      <c r="APE103" s="1"/>
      <c r="APF103" s="1"/>
      <c r="APG103" s="1"/>
      <c r="APH103" s="1"/>
      <c r="API103" s="1"/>
      <c r="APJ103" s="1"/>
      <c r="APK103" s="1"/>
      <c r="APL103" s="1"/>
      <c r="APM103" s="1"/>
      <c r="APN103" s="1"/>
      <c r="APO103" s="1"/>
      <c r="APP103" s="1"/>
      <c r="APQ103" s="1"/>
      <c r="APR103" s="1"/>
      <c r="APS103" s="1"/>
      <c r="APT103" s="1"/>
      <c r="APU103" s="1"/>
      <c r="APV103" s="1"/>
      <c r="APW103" s="1"/>
      <c r="APX103" s="1"/>
      <c r="APY103" s="1"/>
      <c r="APZ103" s="1"/>
      <c r="AQA103" s="1"/>
      <c r="AQB103" s="1"/>
      <c r="AQC103" s="1"/>
      <c r="AQD103" s="1"/>
      <c r="AQE103" s="1"/>
      <c r="AQF103" s="1"/>
      <c r="AQG103" s="1"/>
      <c r="AQH103" s="1"/>
      <c r="AQI103" s="1"/>
      <c r="AQJ103" s="1"/>
      <c r="AQK103" s="1"/>
      <c r="AQL103" s="1"/>
      <c r="AQM103" s="1"/>
      <c r="AQN103" s="1"/>
      <c r="AQO103" s="1"/>
      <c r="AQP103" s="1"/>
      <c r="AQQ103" s="1"/>
      <c r="AQR103" s="1"/>
      <c r="AQS103" s="1"/>
      <c r="AQT103" s="1"/>
      <c r="AQU103" s="1"/>
      <c r="AQV103" s="1"/>
      <c r="AQW103" s="1"/>
      <c r="AQX103" s="1"/>
      <c r="AQY103" s="1"/>
      <c r="AQZ103" s="1"/>
      <c r="ARA103" s="1"/>
      <c r="ARB103" s="1"/>
      <c r="ARC103" s="1"/>
      <c r="ARD103" s="1"/>
      <c r="ARE103" s="1"/>
      <c r="ARF103" s="1"/>
      <c r="ARG103" s="1"/>
      <c r="ARH103" s="1"/>
      <c r="ARI103" s="1"/>
      <c r="ARJ103" s="1"/>
      <c r="ARK103" s="1"/>
      <c r="ARL103" s="1"/>
      <c r="ARM103" s="1"/>
      <c r="ARN103" s="1"/>
      <c r="ARO103" s="1"/>
      <c r="ARP103" s="1"/>
      <c r="ARQ103" s="1"/>
      <c r="ARR103" s="1"/>
      <c r="ARS103" s="1"/>
      <c r="ART103" s="1"/>
      <c r="ARU103" s="1"/>
      <c r="ARV103" s="1"/>
      <c r="ARW103" s="1"/>
      <c r="ARX103" s="1"/>
      <c r="ARY103" s="1"/>
      <c r="ARZ103" s="1"/>
      <c r="ASA103" s="1"/>
      <c r="ASB103" s="1"/>
      <c r="ASC103" s="1"/>
      <c r="ASD103" s="1"/>
      <c r="ASE103" s="1"/>
      <c r="ASF103" s="1"/>
      <c r="ASG103" s="1"/>
      <c r="ASH103" s="1"/>
      <c r="ASI103" s="1"/>
      <c r="ASJ103" s="1"/>
      <c r="ASK103" s="1"/>
      <c r="ASL103" s="1"/>
      <c r="ASM103" s="1"/>
      <c r="ASN103" s="1"/>
      <c r="ASO103" s="1"/>
      <c r="ASP103" s="1"/>
      <c r="ASQ103" s="1"/>
      <c r="ASR103" s="1"/>
      <c r="ASS103" s="1"/>
      <c r="AST103" s="1"/>
      <c r="ASU103" s="1"/>
      <c r="ASV103" s="1"/>
      <c r="ASW103" s="1"/>
      <c r="ASX103" s="1"/>
      <c r="ASY103" s="1"/>
      <c r="ASZ103" s="1"/>
      <c r="ATA103" s="1"/>
      <c r="ATB103" s="1"/>
      <c r="ATC103" s="1"/>
      <c r="ATD103" s="1"/>
      <c r="ATE103" s="1"/>
      <c r="ATF103" s="1"/>
      <c r="ATG103" s="1"/>
      <c r="ATH103" s="1"/>
      <c r="ATI103" s="1"/>
      <c r="ATJ103" s="1"/>
      <c r="ATK103" s="1"/>
      <c r="ATL103" s="1"/>
      <c r="ATS103" s="1"/>
      <c r="ATT103" s="1"/>
      <c r="ATU103" s="1"/>
      <c r="ATV103" s="1"/>
      <c r="ATW103" s="1"/>
      <c r="ATX103" s="1"/>
      <c r="ATY103" s="1"/>
      <c r="ATZ103" s="1"/>
      <c r="AUA103" s="1"/>
      <c r="AUB103" s="1"/>
      <c r="AUC103" s="1"/>
      <c r="AUD103" s="1"/>
      <c r="AUE103" s="1"/>
      <c r="AUF103" s="1"/>
      <c r="AUG103" s="1"/>
      <c r="AUH103" s="1"/>
      <c r="AUI103" s="1"/>
      <c r="AUJ103" s="1"/>
      <c r="AUK103" s="1"/>
      <c r="AUL103" s="1"/>
      <c r="AUM103" s="1"/>
      <c r="AUN103" s="1"/>
      <c r="AUO103" s="1"/>
      <c r="AUP103" s="1"/>
      <c r="AUQ103" s="1"/>
      <c r="AUR103" s="1"/>
      <c r="AUS103" s="1"/>
      <c r="AUT103" s="1"/>
      <c r="AUU103" s="1"/>
      <c r="AUV103" s="1"/>
      <c r="AUW103" s="1"/>
      <c r="AUX103" s="1"/>
      <c r="AUY103" s="1"/>
      <c r="AUZ103" s="1"/>
      <c r="AVA103" s="1"/>
      <c r="AVB103" s="1"/>
      <c r="AVC103" s="1"/>
      <c r="AVD103" s="1"/>
      <c r="AVE103" s="1"/>
      <c r="AVF103" s="1"/>
      <c r="AVG103" s="1"/>
      <c r="AVH103" s="1"/>
      <c r="AVI103" s="1"/>
      <c r="AVJ103" s="1"/>
      <c r="AVK103" s="1"/>
      <c r="AVL103" s="1"/>
      <c r="AVM103" s="1"/>
      <c r="AVN103" s="1"/>
      <c r="AVO103" s="1"/>
      <c r="AVP103" s="1"/>
      <c r="AVQ103" s="1"/>
      <c r="AVR103" s="1"/>
      <c r="AVS103" s="1"/>
      <c r="AVT103" s="1"/>
      <c r="AVU103" s="1"/>
      <c r="AVV103" s="1"/>
      <c r="AVW103" s="1"/>
      <c r="AVX103" s="1"/>
      <c r="AVY103" s="1"/>
      <c r="AVZ103" s="1"/>
      <c r="AWA103" s="1"/>
      <c r="AWB103" s="1"/>
      <c r="AWC103" s="1"/>
      <c r="AWD103" s="1"/>
      <c r="AWE103" s="1"/>
      <c r="AWF103" s="1"/>
      <c r="AWG103" s="1"/>
      <c r="AWH103" s="1"/>
      <c r="AWI103" s="1"/>
      <c r="AWJ103" s="1"/>
      <c r="AWK103" s="1"/>
      <c r="AWL103" s="1"/>
      <c r="AWM103" s="1"/>
      <c r="AWN103" s="1"/>
      <c r="AWO103" s="1"/>
      <c r="AWP103" s="1"/>
      <c r="AWQ103" s="1"/>
      <c r="AWR103" s="1"/>
      <c r="AWS103" s="1"/>
      <c r="AWT103" s="1"/>
      <c r="AWU103" s="1"/>
      <c r="AWV103" s="1"/>
      <c r="AWW103" s="1"/>
      <c r="AWX103" s="1"/>
      <c r="AWY103" s="1"/>
      <c r="AWZ103" s="1"/>
      <c r="AXA103" s="1"/>
      <c r="AXB103" s="1"/>
      <c r="AXC103" s="1"/>
      <c r="AXD103" s="1"/>
      <c r="AXE103" s="1"/>
      <c r="AXF103" s="1"/>
      <c r="AXG103" s="1"/>
      <c r="AXH103" s="1"/>
      <c r="AXI103" s="1"/>
      <c r="AXJ103" s="1"/>
      <c r="AXK103" s="1"/>
      <c r="AXL103" s="1"/>
      <c r="AXM103" s="1"/>
      <c r="AXN103" s="1"/>
      <c r="AXO103" s="1"/>
      <c r="AXP103" s="1"/>
      <c r="AXQ103" s="1"/>
      <c r="AXR103" s="1"/>
      <c r="AXS103" s="1"/>
      <c r="AXT103" s="1"/>
      <c r="AXU103" s="1"/>
      <c r="AXV103" s="1"/>
      <c r="AXW103" s="1"/>
      <c r="AXX103" s="1"/>
      <c r="AXY103" s="1"/>
      <c r="AXZ103" s="1"/>
      <c r="AYA103" s="1"/>
      <c r="AYB103" s="1"/>
      <c r="AYC103" s="1"/>
      <c r="AYD103" s="1"/>
      <c r="AYE103" s="1"/>
      <c r="AYF103" s="1"/>
      <c r="AYG103" s="1"/>
      <c r="AYH103" s="1"/>
      <c r="AYI103" s="1"/>
      <c r="AYJ103" s="1"/>
      <c r="AYK103" s="1"/>
      <c r="AYL103" s="1"/>
      <c r="AYM103" s="1"/>
      <c r="AYN103" s="1"/>
      <c r="AYO103" s="1"/>
      <c r="AYP103" s="1"/>
      <c r="AYQ103" s="1"/>
      <c r="AYR103" s="1"/>
      <c r="AYS103" s="1"/>
      <c r="AYT103" s="1"/>
      <c r="AYU103" s="1"/>
      <c r="AYV103" s="1"/>
      <c r="AYW103" s="1"/>
      <c r="AYX103" s="1"/>
      <c r="AYY103" s="1"/>
      <c r="AYZ103" s="1"/>
      <c r="AZA103" s="1"/>
      <c r="AZB103" s="1"/>
      <c r="AZC103" s="1"/>
      <c r="AZD103" s="1"/>
      <c r="AZE103" s="1"/>
      <c r="AZF103" s="1"/>
      <c r="AZG103" s="1"/>
      <c r="AZH103" s="1"/>
      <c r="AZI103" s="1"/>
      <c r="AZJ103" s="1"/>
      <c r="AZK103" s="1"/>
      <c r="AZL103" s="1"/>
      <c r="AZM103" s="1"/>
      <c r="AZN103" s="1"/>
      <c r="AZO103" s="1"/>
      <c r="AZP103" s="1"/>
      <c r="AZQ103" s="1"/>
      <c r="AZR103" s="1"/>
      <c r="AZS103" s="1"/>
      <c r="AZT103" s="1"/>
      <c r="AZU103" s="1"/>
      <c r="AZV103" s="1"/>
      <c r="AZW103" s="1"/>
      <c r="AZX103" s="1"/>
      <c r="AZY103" s="1"/>
      <c r="AZZ103" s="1"/>
      <c r="BAA103" s="1"/>
      <c r="BAB103" s="1"/>
      <c r="BAC103" s="1"/>
      <c r="BAD103" s="1"/>
      <c r="BAE103" s="1"/>
      <c r="BAF103" s="1"/>
      <c r="BAG103" s="1"/>
      <c r="BAH103" s="1"/>
      <c r="BAI103" s="1"/>
      <c r="BAJ103" s="1"/>
      <c r="BAK103" s="1"/>
      <c r="BAL103" s="1"/>
      <c r="BAM103" s="1"/>
      <c r="BAN103" s="1"/>
      <c r="BAO103" s="1"/>
      <c r="BAP103" s="1"/>
      <c r="BAQ103" s="1"/>
      <c r="BAR103" s="1"/>
      <c r="BAS103" s="1"/>
      <c r="BAT103" s="1"/>
      <c r="BAU103" s="1"/>
      <c r="BAV103" s="1"/>
      <c r="BAW103" s="1"/>
      <c r="BAX103" s="1"/>
      <c r="BAY103" s="1"/>
      <c r="BAZ103" s="1"/>
      <c r="BBA103" s="1"/>
      <c r="BBB103" s="1"/>
      <c r="BBC103" s="1"/>
      <c r="BBD103" s="1"/>
      <c r="BBE103" s="1"/>
      <c r="BBF103" s="1"/>
      <c r="BBG103" s="1"/>
      <c r="BBH103" s="1"/>
      <c r="BBI103" s="1"/>
      <c r="BBJ103" s="1"/>
      <c r="BBK103" s="1"/>
      <c r="BBL103" s="1"/>
      <c r="BBM103" s="1"/>
      <c r="BBN103" s="1"/>
      <c r="BBO103" s="1"/>
      <c r="BBP103" s="1"/>
      <c r="BBQ103" s="1"/>
      <c r="BBR103" s="1"/>
      <c r="BBS103" s="1"/>
      <c r="BBT103" s="1"/>
      <c r="BBU103" s="1"/>
      <c r="BBV103" s="1"/>
      <c r="BBW103" s="1"/>
      <c r="BBX103" s="1"/>
      <c r="BBY103" s="1"/>
      <c r="BBZ103" s="1"/>
      <c r="BCA103" s="1"/>
      <c r="BCB103" s="1"/>
      <c r="BCC103" s="1"/>
      <c r="BCD103" s="1"/>
      <c r="BCE103" s="1"/>
      <c r="BCF103" s="1"/>
      <c r="BCG103" s="1"/>
      <c r="BCH103" s="1"/>
      <c r="BCI103" s="1"/>
      <c r="BCJ103" s="1"/>
      <c r="BCK103" s="1"/>
      <c r="BCL103" s="1"/>
      <c r="BCM103" s="1"/>
      <c r="BCN103" s="1"/>
      <c r="BCO103" s="1"/>
      <c r="BCP103" s="1"/>
      <c r="BCQ103" s="1"/>
      <c r="BCR103" s="1"/>
      <c r="BCS103" s="1"/>
      <c r="BCT103" s="1"/>
      <c r="BCU103" s="1"/>
      <c r="BCV103" s="1"/>
      <c r="BCW103" s="1"/>
      <c r="BCX103" s="1"/>
      <c r="BCY103" s="1"/>
      <c r="BCZ103" s="1"/>
      <c r="BDA103" s="1"/>
      <c r="BDB103" s="1"/>
      <c r="BDC103" s="1"/>
      <c r="BDD103" s="1"/>
      <c r="BDE103" s="1"/>
      <c r="BDF103" s="1"/>
      <c r="BDG103" s="1"/>
      <c r="BDH103" s="1"/>
      <c r="BDO103" s="1"/>
      <c r="BDP103" s="1"/>
      <c r="BDQ103" s="1"/>
      <c r="BDR103" s="1"/>
      <c r="BDS103" s="1"/>
      <c r="BDT103" s="1"/>
      <c r="BDU103" s="1"/>
      <c r="BDV103" s="1"/>
      <c r="BDW103" s="1"/>
      <c r="BDX103" s="1"/>
      <c r="BDY103" s="1"/>
      <c r="BDZ103" s="1"/>
      <c r="BEA103" s="1"/>
      <c r="BEB103" s="1"/>
      <c r="BEC103" s="1"/>
      <c r="BED103" s="1"/>
      <c r="BEE103" s="1"/>
      <c r="BEF103" s="1"/>
      <c r="BEG103" s="1"/>
      <c r="BEH103" s="1"/>
      <c r="BEI103" s="1"/>
      <c r="BEJ103" s="1"/>
      <c r="BEK103" s="1"/>
      <c r="BEL103" s="1"/>
      <c r="BEM103" s="1"/>
      <c r="BEN103" s="1"/>
      <c r="BEO103" s="1"/>
      <c r="BEP103" s="1"/>
      <c r="BEQ103" s="1"/>
      <c r="BER103" s="1"/>
      <c r="BES103" s="1"/>
      <c r="BET103" s="1"/>
      <c r="BEU103" s="1"/>
      <c r="BEV103" s="1"/>
      <c r="BEW103" s="1"/>
      <c r="BEX103" s="1"/>
      <c r="BEY103" s="1"/>
      <c r="BEZ103" s="1"/>
      <c r="BFA103" s="1"/>
      <c r="BFB103" s="1"/>
      <c r="BFC103" s="1"/>
      <c r="BFD103" s="1"/>
      <c r="BFE103" s="1"/>
      <c r="BFF103" s="1"/>
      <c r="BFG103" s="1"/>
      <c r="BFH103" s="1"/>
      <c r="BFI103" s="1"/>
      <c r="BFJ103" s="1"/>
      <c r="BFK103" s="1"/>
      <c r="BFL103" s="1"/>
      <c r="BFM103" s="1"/>
      <c r="BFN103" s="1"/>
      <c r="BFO103" s="1"/>
      <c r="BFP103" s="1"/>
      <c r="BFQ103" s="1"/>
      <c r="BFR103" s="1"/>
      <c r="BFS103" s="1"/>
      <c r="BFT103" s="1"/>
      <c r="BFU103" s="1"/>
      <c r="BFV103" s="1"/>
      <c r="BFW103" s="1"/>
      <c r="BFX103" s="1"/>
      <c r="BFY103" s="1"/>
      <c r="BFZ103" s="1"/>
      <c r="BGA103" s="1"/>
      <c r="BGB103" s="1"/>
      <c r="BGC103" s="1"/>
      <c r="BGD103" s="1"/>
      <c r="BGE103" s="1"/>
      <c r="BGF103" s="1"/>
      <c r="BGG103" s="1"/>
      <c r="BGH103" s="1"/>
      <c r="BGI103" s="1"/>
      <c r="BGJ103" s="1"/>
      <c r="BGK103" s="1"/>
      <c r="BGL103" s="1"/>
      <c r="BGM103" s="1"/>
      <c r="BGN103" s="1"/>
      <c r="BGO103" s="1"/>
      <c r="BGP103" s="1"/>
      <c r="BGQ103" s="1"/>
      <c r="BGR103" s="1"/>
      <c r="BGS103" s="1"/>
      <c r="BGT103" s="1"/>
      <c r="BGU103" s="1"/>
      <c r="BGV103" s="1"/>
      <c r="BGW103" s="1"/>
      <c r="BGX103" s="1"/>
      <c r="BGY103" s="1"/>
      <c r="BGZ103" s="1"/>
      <c r="BHA103" s="1"/>
      <c r="BHB103" s="1"/>
      <c r="BHC103" s="1"/>
      <c r="BHD103" s="1"/>
      <c r="BHE103" s="1"/>
      <c r="BHF103" s="1"/>
      <c r="BHG103" s="1"/>
      <c r="BHH103" s="1"/>
      <c r="BHI103" s="1"/>
      <c r="BHJ103" s="1"/>
      <c r="BHK103" s="1"/>
      <c r="BHL103" s="1"/>
      <c r="BHM103" s="1"/>
      <c r="BHN103" s="1"/>
      <c r="BHO103" s="1"/>
      <c r="BHP103" s="1"/>
      <c r="BHQ103" s="1"/>
      <c r="BHR103" s="1"/>
      <c r="BHS103" s="1"/>
      <c r="BHT103" s="1"/>
      <c r="BHU103" s="1"/>
      <c r="BHV103" s="1"/>
      <c r="BHW103" s="1"/>
      <c r="BHX103" s="1"/>
      <c r="BHY103" s="1"/>
      <c r="BHZ103" s="1"/>
      <c r="BIA103" s="1"/>
      <c r="BIB103" s="1"/>
      <c r="BIC103" s="1"/>
      <c r="BID103" s="1"/>
      <c r="BIE103" s="1"/>
      <c r="BIF103" s="1"/>
      <c r="BIG103" s="1"/>
      <c r="BIH103" s="1"/>
      <c r="BII103" s="1"/>
      <c r="BIJ103" s="1"/>
      <c r="BIK103" s="1"/>
      <c r="BIL103" s="1"/>
      <c r="BIM103" s="1"/>
      <c r="BIN103" s="1"/>
      <c r="BIO103" s="1"/>
      <c r="BIP103" s="1"/>
      <c r="BIQ103" s="1"/>
      <c r="BIR103" s="1"/>
      <c r="BIS103" s="1"/>
      <c r="BIT103" s="1"/>
      <c r="BIU103" s="1"/>
      <c r="BIV103" s="1"/>
      <c r="BIW103" s="1"/>
      <c r="BIX103" s="1"/>
      <c r="BIY103" s="1"/>
      <c r="BIZ103" s="1"/>
      <c r="BJA103" s="1"/>
      <c r="BJB103" s="1"/>
      <c r="BJC103" s="1"/>
      <c r="BJD103" s="1"/>
      <c r="BJE103" s="1"/>
      <c r="BJF103" s="1"/>
      <c r="BJG103" s="1"/>
      <c r="BJH103" s="1"/>
      <c r="BJI103" s="1"/>
      <c r="BJJ103" s="1"/>
      <c r="BJK103" s="1"/>
      <c r="BJL103" s="1"/>
      <c r="BJM103" s="1"/>
      <c r="BJN103" s="1"/>
      <c r="BJO103" s="1"/>
      <c r="BJP103" s="1"/>
      <c r="BJQ103" s="1"/>
      <c r="BJR103" s="1"/>
      <c r="BJS103" s="1"/>
      <c r="BJT103" s="1"/>
      <c r="BJU103" s="1"/>
      <c r="BJV103" s="1"/>
      <c r="BJW103" s="1"/>
      <c r="BJX103" s="1"/>
      <c r="BJY103" s="1"/>
      <c r="BJZ103" s="1"/>
      <c r="BKA103" s="1"/>
      <c r="BKB103" s="1"/>
      <c r="BKC103" s="1"/>
      <c r="BKD103" s="1"/>
      <c r="BKE103" s="1"/>
      <c r="BKF103" s="1"/>
      <c r="BKG103" s="1"/>
      <c r="BKH103" s="1"/>
      <c r="BKI103" s="1"/>
      <c r="BKJ103" s="1"/>
      <c r="BKK103" s="1"/>
      <c r="BKL103" s="1"/>
      <c r="BKM103" s="1"/>
      <c r="BKN103" s="1"/>
      <c r="BKO103" s="1"/>
      <c r="BKP103" s="1"/>
      <c r="BKQ103" s="1"/>
      <c r="BKR103" s="1"/>
      <c r="BKS103" s="1"/>
      <c r="BKT103" s="1"/>
      <c r="BKU103" s="1"/>
      <c r="BKV103" s="1"/>
      <c r="BKW103" s="1"/>
      <c r="BKX103" s="1"/>
      <c r="BKY103" s="1"/>
      <c r="BKZ103" s="1"/>
      <c r="BLA103" s="1"/>
      <c r="BLB103" s="1"/>
      <c r="BLC103" s="1"/>
      <c r="BLD103" s="1"/>
      <c r="BLE103" s="1"/>
      <c r="BLF103" s="1"/>
      <c r="BLG103" s="1"/>
      <c r="BLH103" s="1"/>
      <c r="BLI103" s="1"/>
      <c r="BLJ103" s="1"/>
      <c r="BLK103" s="1"/>
      <c r="BLL103" s="1"/>
      <c r="BLM103" s="1"/>
      <c r="BLN103" s="1"/>
      <c r="BLO103" s="1"/>
      <c r="BLP103" s="1"/>
      <c r="BLQ103" s="1"/>
      <c r="BLR103" s="1"/>
      <c r="BLS103" s="1"/>
      <c r="BLT103" s="1"/>
      <c r="BLU103" s="1"/>
      <c r="BLV103" s="1"/>
      <c r="BLW103" s="1"/>
      <c r="BLX103" s="1"/>
      <c r="BLY103" s="1"/>
      <c r="BLZ103" s="1"/>
      <c r="BMA103" s="1"/>
      <c r="BMB103" s="1"/>
      <c r="BMC103" s="1"/>
      <c r="BMD103" s="1"/>
      <c r="BME103" s="1"/>
      <c r="BMF103" s="1"/>
      <c r="BMG103" s="1"/>
      <c r="BMH103" s="1"/>
      <c r="BMI103" s="1"/>
      <c r="BMJ103" s="1"/>
      <c r="BMK103" s="1"/>
      <c r="BML103" s="1"/>
      <c r="BMM103" s="1"/>
      <c r="BMN103" s="1"/>
      <c r="BMO103" s="1"/>
      <c r="BMP103" s="1"/>
      <c r="BMQ103" s="1"/>
      <c r="BMR103" s="1"/>
      <c r="BMS103" s="1"/>
      <c r="BMT103" s="1"/>
      <c r="BMU103" s="1"/>
      <c r="BMV103" s="1"/>
      <c r="BMW103" s="1"/>
      <c r="BMX103" s="1"/>
      <c r="BMY103" s="1"/>
      <c r="BMZ103" s="1"/>
      <c r="BNA103" s="1"/>
      <c r="BNB103" s="1"/>
      <c r="BNC103" s="1"/>
      <c r="BND103" s="1"/>
      <c r="BNK103" s="1"/>
      <c r="BNL103" s="1"/>
      <c r="BNM103" s="1"/>
      <c r="BNN103" s="1"/>
      <c r="BNO103" s="1"/>
      <c r="BNP103" s="1"/>
      <c r="BNQ103" s="1"/>
      <c r="BNR103" s="1"/>
      <c r="BNS103" s="1"/>
      <c r="BNT103" s="1"/>
      <c r="BNU103" s="1"/>
      <c r="BNV103" s="1"/>
      <c r="BNW103" s="1"/>
      <c r="BNX103" s="1"/>
      <c r="BNY103" s="1"/>
      <c r="BNZ103" s="1"/>
      <c r="BOA103" s="1"/>
      <c r="BOB103" s="1"/>
      <c r="BOC103" s="1"/>
      <c r="BOD103" s="1"/>
      <c r="BOE103" s="1"/>
      <c r="BOF103" s="1"/>
      <c r="BOG103" s="1"/>
      <c r="BOH103" s="1"/>
      <c r="BOI103" s="1"/>
      <c r="BOJ103" s="1"/>
      <c r="BOK103" s="1"/>
      <c r="BOL103" s="1"/>
      <c r="BOM103" s="1"/>
      <c r="BON103" s="1"/>
      <c r="BOO103" s="1"/>
      <c r="BOP103" s="1"/>
      <c r="BOQ103" s="1"/>
      <c r="BOR103" s="1"/>
      <c r="BOS103" s="1"/>
      <c r="BOT103" s="1"/>
      <c r="BOU103" s="1"/>
      <c r="BOV103" s="1"/>
      <c r="BOW103" s="1"/>
      <c r="BOX103" s="1"/>
      <c r="BOY103" s="1"/>
      <c r="BOZ103" s="1"/>
      <c r="BPA103" s="1"/>
      <c r="BPB103" s="1"/>
      <c r="BPC103" s="1"/>
      <c r="BPD103" s="1"/>
      <c r="BPE103" s="1"/>
      <c r="BPF103" s="1"/>
      <c r="BPG103" s="1"/>
      <c r="BPH103" s="1"/>
      <c r="BPI103" s="1"/>
      <c r="BPJ103" s="1"/>
      <c r="BPK103" s="1"/>
      <c r="BPL103" s="1"/>
      <c r="BPM103" s="1"/>
      <c r="BPN103" s="1"/>
      <c r="BPO103" s="1"/>
      <c r="BPP103" s="1"/>
      <c r="BPQ103" s="1"/>
      <c r="BPR103" s="1"/>
      <c r="BPS103" s="1"/>
      <c r="BPT103" s="1"/>
      <c r="BPU103" s="1"/>
      <c r="BPV103" s="1"/>
      <c r="BPW103" s="1"/>
      <c r="BPX103" s="1"/>
      <c r="BPY103" s="1"/>
      <c r="BPZ103" s="1"/>
      <c r="BQA103" s="1"/>
      <c r="BQB103" s="1"/>
      <c r="BQC103" s="1"/>
      <c r="BQD103" s="1"/>
      <c r="BQE103" s="1"/>
      <c r="BQF103" s="1"/>
      <c r="BQG103" s="1"/>
      <c r="BQH103" s="1"/>
      <c r="BQI103" s="1"/>
      <c r="BQJ103" s="1"/>
      <c r="BQK103" s="1"/>
      <c r="BQL103" s="1"/>
      <c r="BQM103" s="1"/>
      <c r="BQN103" s="1"/>
      <c r="BQO103" s="1"/>
      <c r="BQP103" s="1"/>
      <c r="BQQ103" s="1"/>
      <c r="BQR103" s="1"/>
      <c r="BQS103" s="1"/>
      <c r="BQT103" s="1"/>
      <c r="BQU103" s="1"/>
      <c r="BQV103" s="1"/>
      <c r="BQW103" s="1"/>
      <c r="BQX103" s="1"/>
      <c r="BQY103" s="1"/>
      <c r="BQZ103" s="1"/>
      <c r="BRA103" s="1"/>
      <c r="BRB103" s="1"/>
      <c r="BRC103" s="1"/>
      <c r="BRD103" s="1"/>
      <c r="BRE103" s="1"/>
      <c r="BRF103" s="1"/>
      <c r="BRG103" s="1"/>
      <c r="BRH103" s="1"/>
      <c r="BRI103" s="1"/>
      <c r="BRJ103" s="1"/>
      <c r="BRK103" s="1"/>
      <c r="BRL103" s="1"/>
      <c r="BRM103" s="1"/>
      <c r="BRN103" s="1"/>
      <c r="BRO103" s="1"/>
      <c r="BRP103" s="1"/>
      <c r="BRQ103" s="1"/>
      <c r="BRR103" s="1"/>
      <c r="BRS103" s="1"/>
      <c r="BRT103" s="1"/>
      <c r="BRU103" s="1"/>
      <c r="BRV103" s="1"/>
      <c r="BRW103" s="1"/>
      <c r="BRX103" s="1"/>
      <c r="BRY103" s="1"/>
      <c r="BRZ103" s="1"/>
      <c r="BSA103" s="1"/>
      <c r="BSB103" s="1"/>
      <c r="BSC103" s="1"/>
      <c r="BSD103" s="1"/>
      <c r="BSE103" s="1"/>
      <c r="BSF103" s="1"/>
      <c r="BSG103" s="1"/>
      <c r="BSH103" s="1"/>
      <c r="BSI103" s="1"/>
      <c r="BSJ103" s="1"/>
      <c r="BSK103" s="1"/>
      <c r="BSL103" s="1"/>
      <c r="BSM103" s="1"/>
      <c r="BSN103" s="1"/>
      <c r="BSO103" s="1"/>
      <c r="BSP103" s="1"/>
      <c r="BSQ103" s="1"/>
      <c r="BSR103" s="1"/>
      <c r="BSS103" s="1"/>
      <c r="BST103" s="1"/>
      <c r="BSU103" s="1"/>
      <c r="BSV103" s="1"/>
      <c r="BSW103" s="1"/>
      <c r="BSX103" s="1"/>
      <c r="BSY103" s="1"/>
      <c r="BSZ103" s="1"/>
      <c r="BTA103" s="1"/>
      <c r="BTB103" s="1"/>
      <c r="BTC103" s="1"/>
      <c r="BTD103" s="1"/>
      <c r="BTE103" s="1"/>
      <c r="BTF103" s="1"/>
      <c r="BTG103" s="1"/>
      <c r="BTH103" s="1"/>
      <c r="BTI103" s="1"/>
      <c r="BTJ103" s="1"/>
      <c r="BTK103" s="1"/>
      <c r="BTL103" s="1"/>
      <c r="BTM103" s="1"/>
      <c r="BTN103" s="1"/>
      <c r="BTO103" s="1"/>
      <c r="BTP103" s="1"/>
      <c r="BTQ103" s="1"/>
      <c r="BTR103" s="1"/>
      <c r="BTS103" s="1"/>
      <c r="BTT103" s="1"/>
      <c r="BTU103" s="1"/>
      <c r="BTV103" s="1"/>
      <c r="BTW103" s="1"/>
      <c r="BTX103" s="1"/>
      <c r="BTY103" s="1"/>
      <c r="BTZ103" s="1"/>
      <c r="BUA103" s="1"/>
      <c r="BUB103" s="1"/>
      <c r="BUC103" s="1"/>
      <c r="BUD103" s="1"/>
      <c r="BUE103" s="1"/>
      <c r="BUF103" s="1"/>
      <c r="BUG103" s="1"/>
      <c r="BUH103" s="1"/>
      <c r="BUI103" s="1"/>
      <c r="BUJ103" s="1"/>
      <c r="BUK103" s="1"/>
      <c r="BUL103" s="1"/>
      <c r="BUM103" s="1"/>
      <c r="BUN103" s="1"/>
      <c r="BUO103" s="1"/>
      <c r="BUP103" s="1"/>
      <c r="BUQ103" s="1"/>
      <c r="BUR103" s="1"/>
      <c r="BUS103" s="1"/>
      <c r="BUT103" s="1"/>
      <c r="BUU103" s="1"/>
      <c r="BUV103" s="1"/>
      <c r="BUW103" s="1"/>
      <c r="BUX103" s="1"/>
      <c r="BUY103" s="1"/>
      <c r="BUZ103" s="1"/>
      <c r="BVA103" s="1"/>
      <c r="BVB103" s="1"/>
      <c r="BVC103" s="1"/>
      <c r="BVD103" s="1"/>
      <c r="BVE103" s="1"/>
      <c r="BVF103" s="1"/>
      <c r="BVG103" s="1"/>
      <c r="BVH103" s="1"/>
      <c r="BVI103" s="1"/>
      <c r="BVJ103" s="1"/>
      <c r="BVK103" s="1"/>
      <c r="BVL103" s="1"/>
      <c r="BVM103" s="1"/>
      <c r="BVN103" s="1"/>
      <c r="BVO103" s="1"/>
      <c r="BVP103" s="1"/>
      <c r="BVQ103" s="1"/>
      <c r="BVR103" s="1"/>
      <c r="BVS103" s="1"/>
      <c r="BVT103" s="1"/>
      <c r="BVU103" s="1"/>
      <c r="BVV103" s="1"/>
      <c r="BVW103" s="1"/>
      <c r="BVX103" s="1"/>
      <c r="BVY103" s="1"/>
      <c r="BVZ103" s="1"/>
      <c r="BWA103" s="1"/>
      <c r="BWB103" s="1"/>
      <c r="BWC103" s="1"/>
      <c r="BWD103" s="1"/>
      <c r="BWE103" s="1"/>
      <c r="BWF103" s="1"/>
      <c r="BWG103" s="1"/>
      <c r="BWH103" s="1"/>
      <c r="BWI103" s="1"/>
      <c r="BWJ103" s="1"/>
      <c r="BWK103" s="1"/>
      <c r="BWL103" s="1"/>
      <c r="BWM103" s="1"/>
      <c r="BWN103" s="1"/>
      <c r="BWO103" s="1"/>
      <c r="BWP103" s="1"/>
      <c r="BWQ103" s="1"/>
      <c r="BWR103" s="1"/>
      <c r="BWS103" s="1"/>
      <c r="BWT103" s="1"/>
      <c r="BWU103" s="1"/>
      <c r="BWV103" s="1"/>
      <c r="BWW103" s="1"/>
      <c r="BWX103" s="1"/>
      <c r="BWY103" s="1"/>
      <c r="BWZ103" s="1"/>
      <c r="BXG103" s="1"/>
      <c r="BXH103" s="1"/>
      <c r="BXI103" s="1"/>
      <c r="BXJ103" s="1"/>
      <c r="BXK103" s="1"/>
      <c r="BXL103" s="1"/>
      <c r="BXM103" s="1"/>
      <c r="BXN103" s="1"/>
      <c r="BXO103" s="1"/>
      <c r="BXP103" s="1"/>
      <c r="BXQ103" s="1"/>
      <c r="BXR103" s="1"/>
      <c r="BXS103" s="1"/>
      <c r="BXT103" s="1"/>
      <c r="BXU103" s="1"/>
      <c r="BXV103" s="1"/>
      <c r="BXW103" s="1"/>
      <c r="BXX103" s="1"/>
      <c r="BXY103" s="1"/>
      <c r="BXZ103" s="1"/>
      <c r="BYA103" s="1"/>
      <c r="BYB103" s="1"/>
      <c r="BYC103" s="1"/>
      <c r="BYD103" s="1"/>
      <c r="BYE103" s="1"/>
      <c r="BYF103" s="1"/>
      <c r="BYG103" s="1"/>
      <c r="BYH103" s="1"/>
      <c r="BYI103" s="1"/>
      <c r="BYJ103" s="1"/>
      <c r="BYK103" s="1"/>
      <c r="BYL103" s="1"/>
      <c r="BYM103" s="1"/>
      <c r="BYN103" s="1"/>
      <c r="BYO103" s="1"/>
      <c r="BYP103" s="1"/>
      <c r="BYQ103" s="1"/>
      <c r="BYR103" s="1"/>
      <c r="BYS103" s="1"/>
      <c r="BYT103" s="1"/>
      <c r="BYU103" s="1"/>
      <c r="BYV103" s="1"/>
      <c r="BYW103" s="1"/>
      <c r="BYX103" s="1"/>
      <c r="BYY103" s="1"/>
      <c r="BYZ103" s="1"/>
      <c r="BZA103" s="1"/>
      <c r="BZB103" s="1"/>
      <c r="BZC103" s="1"/>
      <c r="BZD103" s="1"/>
      <c r="BZE103" s="1"/>
      <c r="BZF103" s="1"/>
      <c r="BZG103" s="1"/>
      <c r="BZH103" s="1"/>
      <c r="BZI103" s="1"/>
      <c r="BZJ103" s="1"/>
      <c r="BZK103" s="1"/>
      <c r="BZL103" s="1"/>
      <c r="BZM103" s="1"/>
      <c r="BZN103" s="1"/>
      <c r="BZO103" s="1"/>
      <c r="BZP103" s="1"/>
      <c r="BZQ103" s="1"/>
      <c r="BZR103" s="1"/>
      <c r="BZS103" s="1"/>
      <c r="BZT103" s="1"/>
      <c r="BZU103" s="1"/>
      <c r="BZV103" s="1"/>
      <c r="BZW103" s="1"/>
      <c r="BZX103" s="1"/>
      <c r="BZY103" s="1"/>
      <c r="BZZ103" s="1"/>
      <c r="CAA103" s="1"/>
      <c r="CAB103" s="1"/>
      <c r="CAC103" s="1"/>
      <c r="CAD103" s="1"/>
      <c r="CAE103" s="1"/>
      <c r="CAF103" s="1"/>
      <c r="CAG103" s="1"/>
      <c r="CAH103" s="1"/>
      <c r="CAI103" s="1"/>
      <c r="CAJ103" s="1"/>
      <c r="CAK103" s="1"/>
      <c r="CAL103" s="1"/>
      <c r="CAM103" s="1"/>
      <c r="CAN103" s="1"/>
      <c r="CAO103" s="1"/>
      <c r="CAP103" s="1"/>
      <c r="CAQ103" s="1"/>
      <c r="CAR103" s="1"/>
      <c r="CAS103" s="1"/>
      <c r="CAT103" s="1"/>
      <c r="CAU103" s="1"/>
      <c r="CAV103" s="1"/>
      <c r="CAW103" s="1"/>
      <c r="CAX103" s="1"/>
      <c r="CAY103" s="1"/>
      <c r="CAZ103" s="1"/>
      <c r="CBA103" s="1"/>
      <c r="CBB103" s="1"/>
      <c r="CBC103" s="1"/>
      <c r="CBD103" s="1"/>
      <c r="CBE103" s="1"/>
      <c r="CBF103" s="1"/>
      <c r="CBG103" s="1"/>
      <c r="CBH103" s="1"/>
      <c r="CBI103" s="1"/>
      <c r="CBJ103" s="1"/>
      <c r="CBK103" s="1"/>
      <c r="CBL103" s="1"/>
      <c r="CBM103" s="1"/>
      <c r="CBN103" s="1"/>
      <c r="CBO103" s="1"/>
      <c r="CBP103" s="1"/>
      <c r="CBQ103" s="1"/>
      <c r="CBR103" s="1"/>
      <c r="CBS103" s="1"/>
      <c r="CBT103" s="1"/>
      <c r="CBU103" s="1"/>
      <c r="CBV103" s="1"/>
      <c r="CBW103" s="1"/>
      <c r="CBX103" s="1"/>
      <c r="CBY103" s="1"/>
      <c r="CBZ103" s="1"/>
      <c r="CCA103" s="1"/>
      <c r="CCB103" s="1"/>
      <c r="CCC103" s="1"/>
      <c r="CCD103" s="1"/>
      <c r="CCE103" s="1"/>
      <c r="CCF103" s="1"/>
      <c r="CCG103" s="1"/>
      <c r="CCH103" s="1"/>
      <c r="CCI103" s="1"/>
      <c r="CCJ103" s="1"/>
      <c r="CCK103" s="1"/>
      <c r="CCL103" s="1"/>
      <c r="CCM103" s="1"/>
      <c r="CCN103" s="1"/>
      <c r="CCO103" s="1"/>
      <c r="CCP103" s="1"/>
      <c r="CCQ103" s="1"/>
      <c r="CCR103" s="1"/>
      <c r="CCS103" s="1"/>
      <c r="CCT103" s="1"/>
      <c r="CCU103" s="1"/>
      <c r="CCV103" s="1"/>
      <c r="CCW103" s="1"/>
      <c r="CCX103" s="1"/>
      <c r="CCY103" s="1"/>
      <c r="CCZ103" s="1"/>
      <c r="CDA103" s="1"/>
      <c r="CDB103" s="1"/>
      <c r="CDC103" s="1"/>
      <c r="CDD103" s="1"/>
      <c r="CDE103" s="1"/>
      <c r="CDF103" s="1"/>
      <c r="CDG103" s="1"/>
      <c r="CDH103" s="1"/>
      <c r="CDI103" s="1"/>
      <c r="CDJ103" s="1"/>
      <c r="CDK103" s="1"/>
      <c r="CDL103" s="1"/>
      <c r="CDM103" s="1"/>
      <c r="CDN103" s="1"/>
      <c r="CDO103" s="1"/>
      <c r="CDP103" s="1"/>
      <c r="CDQ103" s="1"/>
      <c r="CDR103" s="1"/>
      <c r="CDS103" s="1"/>
      <c r="CDT103" s="1"/>
      <c r="CDU103" s="1"/>
      <c r="CDV103" s="1"/>
      <c r="CDW103" s="1"/>
      <c r="CDX103" s="1"/>
      <c r="CDY103" s="1"/>
      <c r="CDZ103" s="1"/>
      <c r="CEA103" s="1"/>
      <c r="CEB103" s="1"/>
      <c r="CEC103" s="1"/>
      <c r="CED103" s="1"/>
      <c r="CEE103" s="1"/>
      <c r="CEF103" s="1"/>
      <c r="CEG103" s="1"/>
      <c r="CEH103" s="1"/>
      <c r="CEI103" s="1"/>
      <c r="CEJ103" s="1"/>
      <c r="CEK103" s="1"/>
      <c r="CEL103" s="1"/>
      <c r="CEM103" s="1"/>
      <c r="CEN103" s="1"/>
      <c r="CEO103" s="1"/>
      <c r="CEP103" s="1"/>
      <c r="CEQ103" s="1"/>
      <c r="CER103" s="1"/>
      <c r="CES103" s="1"/>
      <c r="CET103" s="1"/>
      <c r="CEU103" s="1"/>
      <c r="CEV103" s="1"/>
      <c r="CEW103" s="1"/>
      <c r="CEX103" s="1"/>
      <c r="CEY103" s="1"/>
      <c r="CEZ103" s="1"/>
      <c r="CFA103" s="1"/>
      <c r="CFB103" s="1"/>
      <c r="CFC103" s="1"/>
      <c r="CFD103" s="1"/>
      <c r="CFE103" s="1"/>
      <c r="CFF103" s="1"/>
      <c r="CFG103" s="1"/>
      <c r="CFH103" s="1"/>
      <c r="CFI103" s="1"/>
      <c r="CFJ103" s="1"/>
      <c r="CFK103" s="1"/>
      <c r="CFL103" s="1"/>
      <c r="CFM103" s="1"/>
      <c r="CFN103" s="1"/>
      <c r="CFO103" s="1"/>
      <c r="CFP103" s="1"/>
      <c r="CFQ103" s="1"/>
      <c r="CFR103" s="1"/>
      <c r="CFS103" s="1"/>
      <c r="CFT103" s="1"/>
      <c r="CFU103" s="1"/>
      <c r="CFV103" s="1"/>
      <c r="CFW103" s="1"/>
      <c r="CFX103" s="1"/>
      <c r="CFY103" s="1"/>
      <c r="CFZ103" s="1"/>
      <c r="CGA103" s="1"/>
      <c r="CGB103" s="1"/>
      <c r="CGC103" s="1"/>
      <c r="CGD103" s="1"/>
      <c r="CGE103" s="1"/>
      <c r="CGF103" s="1"/>
      <c r="CGG103" s="1"/>
      <c r="CGH103" s="1"/>
      <c r="CGI103" s="1"/>
      <c r="CGJ103" s="1"/>
      <c r="CGK103" s="1"/>
      <c r="CGL103" s="1"/>
      <c r="CGM103" s="1"/>
      <c r="CGN103" s="1"/>
      <c r="CGO103" s="1"/>
      <c r="CGP103" s="1"/>
      <c r="CGQ103" s="1"/>
      <c r="CGR103" s="1"/>
      <c r="CGS103" s="1"/>
      <c r="CGT103" s="1"/>
      <c r="CGU103" s="1"/>
      <c r="CGV103" s="1"/>
      <c r="CHC103" s="1"/>
      <c r="CHD103" s="1"/>
      <c r="CHE103" s="1"/>
      <c r="CHF103" s="1"/>
      <c r="CHG103" s="1"/>
      <c r="CHH103" s="1"/>
      <c r="CHI103" s="1"/>
      <c r="CHJ103" s="1"/>
      <c r="CHK103" s="1"/>
      <c r="CHL103" s="1"/>
      <c r="CHM103" s="1"/>
      <c r="CHN103" s="1"/>
      <c r="CHO103" s="1"/>
      <c r="CHP103" s="1"/>
      <c r="CHQ103" s="1"/>
      <c r="CHR103" s="1"/>
      <c r="CHS103" s="1"/>
      <c r="CHT103" s="1"/>
      <c r="CHU103" s="1"/>
      <c r="CHV103" s="1"/>
      <c r="CHW103" s="1"/>
      <c r="CHX103" s="1"/>
      <c r="CHY103" s="1"/>
      <c r="CHZ103" s="1"/>
      <c r="CIA103" s="1"/>
      <c r="CIB103" s="1"/>
      <c r="CIC103" s="1"/>
      <c r="CID103" s="1"/>
      <c r="CIE103" s="1"/>
      <c r="CIF103" s="1"/>
      <c r="CIG103" s="1"/>
      <c r="CIH103" s="1"/>
      <c r="CII103" s="1"/>
      <c r="CIJ103" s="1"/>
      <c r="CIK103" s="1"/>
      <c r="CIL103" s="1"/>
      <c r="CIM103" s="1"/>
      <c r="CIN103" s="1"/>
      <c r="CIO103" s="1"/>
      <c r="CIP103" s="1"/>
      <c r="CIQ103" s="1"/>
      <c r="CIR103" s="1"/>
      <c r="CIS103" s="1"/>
      <c r="CIT103" s="1"/>
      <c r="CIU103" s="1"/>
      <c r="CIV103" s="1"/>
      <c r="CIW103" s="1"/>
      <c r="CIX103" s="1"/>
      <c r="CIY103" s="1"/>
      <c r="CIZ103" s="1"/>
      <c r="CJA103" s="1"/>
      <c r="CJB103" s="1"/>
      <c r="CJC103" s="1"/>
      <c r="CJD103" s="1"/>
      <c r="CJE103" s="1"/>
      <c r="CJF103" s="1"/>
      <c r="CJG103" s="1"/>
      <c r="CJH103" s="1"/>
      <c r="CJI103" s="1"/>
      <c r="CJJ103" s="1"/>
      <c r="CJK103" s="1"/>
      <c r="CJL103" s="1"/>
      <c r="CJM103" s="1"/>
      <c r="CJN103" s="1"/>
      <c r="CJO103" s="1"/>
      <c r="CJP103" s="1"/>
      <c r="CJQ103" s="1"/>
      <c r="CJR103" s="1"/>
      <c r="CJS103" s="1"/>
      <c r="CJT103" s="1"/>
      <c r="CJU103" s="1"/>
      <c r="CJV103" s="1"/>
      <c r="CJW103" s="1"/>
      <c r="CJX103" s="1"/>
      <c r="CJY103" s="1"/>
      <c r="CJZ103" s="1"/>
      <c r="CKA103" s="1"/>
      <c r="CKB103" s="1"/>
      <c r="CKC103" s="1"/>
      <c r="CKD103" s="1"/>
      <c r="CKE103" s="1"/>
      <c r="CKF103" s="1"/>
      <c r="CKG103" s="1"/>
      <c r="CKH103" s="1"/>
      <c r="CKI103" s="1"/>
      <c r="CKJ103" s="1"/>
      <c r="CKK103" s="1"/>
      <c r="CKL103" s="1"/>
      <c r="CKM103" s="1"/>
      <c r="CKN103" s="1"/>
      <c r="CKO103" s="1"/>
      <c r="CKP103" s="1"/>
      <c r="CKQ103" s="1"/>
      <c r="CKR103" s="1"/>
      <c r="CKS103" s="1"/>
      <c r="CKT103" s="1"/>
      <c r="CKU103" s="1"/>
      <c r="CKV103" s="1"/>
      <c r="CKW103" s="1"/>
      <c r="CKX103" s="1"/>
      <c r="CKY103" s="1"/>
      <c r="CKZ103" s="1"/>
      <c r="CLA103" s="1"/>
      <c r="CLB103" s="1"/>
      <c r="CLC103" s="1"/>
      <c r="CLD103" s="1"/>
      <c r="CLE103" s="1"/>
      <c r="CLF103" s="1"/>
      <c r="CLG103" s="1"/>
      <c r="CLH103" s="1"/>
      <c r="CLI103" s="1"/>
      <c r="CLJ103" s="1"/>
      <c r="CLK103" s="1"/>
      <c r="CLL103" s="1"/>
      <c r="CLM103" s="1"/>
      <c r="CLN103" s="1"/>
      <c r="CLO103" s="1"/>
      <c r="CLP103" s="1"/>
      <c r="CLQ103" s="1"/>
      <c r="CLR103" s="1"/>
      <c r="CLS103" s="1"/>
      <c r="CLT103" s="1"/>
      <c r="CLU103" s="1"/>
      <c r="CLV103" s="1"/>
      <c r="CLW103" s="1"/>
      <c r="CLX103" s="1"/>
      <c r="CLY103" s="1"/>
      <c r="CLZ103" s="1"/>
      <c r="CMA103" s="1"/>
      <c r="CMB103" s="1"/>
      <c r="CMC103" s="1"/>
      <c r="CMD103" s="1"/>
      <c r="CME103" s="1"/>
      <c r="CMF103" s="1"/>
      <c r="CMG103" s="1"/>
      <c r="CMH103" s="1"/>
      <c r="CMI103" s="1"/>
      <c r="CMJ103" s="1"/>
      <c r="CMK103" s="1"/>
      <c r="CML103" s="1"/>
      <c r="CMM103" s="1"/>
      <c r="CMN103" s="1"/>
      <c r="CMO103" s="1"/>
      <c r="CMP103" s="1"/>
      <c r="CMQ103" s="1"/>
      <c r="CMR103" s="1"/>
      <c r="CMS103" s="1"/>
      <c r="CMT103" s="1"/>
      <c r="CMU103" s="1"/>
      <c r="CMV103" s="1"/>
      <c r="CMW103" s="1"/>
      <c r="CMX103" s="1"/>
      <c r="CMY103" s="1"/>
      <c r="CMZ103" s="1"/>
      <c r="CNA103" s="1"/>
      <c r="CNB103" s="1"/>
      <c r="CNC103" s="1"/>
      <c r="CND103" s="1"/>
      <c r="CNE103" s="1"/>
      <c r="CNF103" s="1"/>
      <c r="CNG103" s="1"/>
      <c r="CNH103" s="1"/>
      <c r="CNI103" s="1"/>
      <c r="CNJ103" s="1"/>
      <c r="CNK103" s="1"/>
      <c r="CNL103" s="1"/>
      <c r="CNM103" s="1"/>
      <c r="CNN103" s="1"/>
      <c r="CNO103" s="1"/>
      <c r="CNP103" s="1"/>
      <c r="CNQ103" s="1"/>
      <c r="CNR103" s="1"/>
      <c r="CNS103" s="1"/>
      <c r="CNT103" s="1"/>
      <c r="CNU103" s="1"/>
      <c r="CNV103" s="1"/>
      <c r="CNW103" s="1"/>
      <c r="CNX103" s="1"/>
      <c r="CNY103" s="1"/>
      <c r="CNZ103" s="1"/>
      <c r="COA103" s="1"/>
      <c r="COB103" s="1"/>
      <c r="COC103" s="1"/>
      <c r="COD103" s="1"/>
      <c r="COE103" s="1"/>
      <c r="COF103" s="1"/>
      <c r="COG103" s="1"/>
      <c r="COH103" s="1"/>
      <c r="COI103" s="1"/>
      <c r="COJ103" s="1"/>
      <c r="COK103" s="1"/>
      <c r="COL103" s="1"/>
      <c r="COM103" s="1"/>
      <c r="CON103" s="1"/>
      <c r="COO103" s="1"/>
      <c r="COP103" s="1"/>
      <c r="COQ103" s="1"/>
      <c r="COR103" s="1"/>
      <c r="COS103" s="1"/>
      <c r="COT103" s="1"/>
      <c r="COU103" s="1"/>
      <c r="COV103" s="1"/>
      <c r="COW103" s="1"/>
      <c r="COX103" s="1"/>
      <c r="COY103" s="1"/>
      <c r="COZ103" s="1"/>
      <c r="CPA103" s="1"/>
      <c r="CPB103" s="1"/>
      <c r="CPC103" s="1"/>
      <c r="CPD103" s="1"/>
      <c r="CPE103" s="1"/>
      <c r="CPF103" s="1"/>
      <c r="CPG103" s="1"/>
      <c r="CPH103" s="1"/>
      <c r="CPI103" s="1"/>
      <c r="CPJ103" s="1"/>
      <c r="CPK103" s="1"/>
      <c r="CPL103" s="1"/>
      <c r="CPM103" s="1"/>
      <c r="CPN103" s="1"/>
      <c r="CPO103" s="1"/>
      <c r="CPP103" s="1"/>
      <c r="CPQ103" s="1"/>
      <c r="CPR103" s="1"/>
      <c r="CPS103" s="1"/>
      <c r="CPT103" s="1"/>
      <c r="CPU103" s="1"/>
      <c r="CPV103" s="1"/>
      <c r="CPW103" s="1"/>
      <c r="CPX103" s="1"/>
      <c r="CPY103" s="1"/>
      <c r="CPZ103" s="1"/>
      <c r="CQA103" s="1"/>
      <c r="CQB103" s="1"/>
      <c r="CQC103" s="1"/>
      <c r="CQD103" s="1"/>
      <c r="CQE103" s="1"/>
      <c r="CQF103" s="1"/>
      <c r="CQG103" s="1"/>
      <c r="CQH103" s="1"/>
      <c r="CQI103" s="1"/>
      <c r="CQJ103" s="1"/>
      <c r="CQK103" s="1"/>
      <c r="CQL103" s="1"/>
      <c r="CQM103" s="1"/>
      <c r="CQN103" s="1"/>
      <c r="CQO103" s="1"/>
      <c r="CQP103" s="1"/>
      <c r="CQQ103" s="1"/>
      <c r="CQR103" s="1"/>
      <c r="CQY103" s="1"/>
      <c r="CQZ103" s="1"/>
      <c r="CRA103" s="1"/>
      <c r="CRB103" s="1"/>
      <c r="CRC103" s="1"/>
      <c r="CRD103" s="1"/>
      <c r="CRE103" s="1"/>
      <c r="CRF103" s="1"/>
      <c r="CRG103" s="1"/>
      <c r="CRH103" s="1"/>
      <c r="CRI103" s="1"/>
      <c r="CRJ103" s="1"/>
      <c r="CRK103" s="1"/>
      <c r="CRL103" s="1"/>
      <c r="CRM103" s="1"/>
      <c r="CRN103" s="1"/>
      <c r="CRO103" s="1"/>
      <c r="CRP103" s="1"/>
      <c r="CRQ103" s="1"/>
      <c r="CRR103" s="1"/>
      <c r="CRS103" s="1"/>
      <c r="CRT103" s="1"/>
      <c r="CRU103" s="1"/>
      <c r="CRV103" s="1"/>
      <c r="CRW103" s="1"/>
      <c r="CRX103" s="1"/>
      <c r="CRY103" s="1"/>
      <c r="CRZ103" s="1"/>
      <c r="CSA103" s="1"/>
      <c r="CSB103" s="1"/>
      <c r="CSC103" s="1"/>
      <c r="CSD103" s="1"/>
      <c r="CSE103" s="1"/>
      <c r="CSF103" s="1"/>
      <c r="CSG103" s="1"/>
      <c r="CSH103" s="1"/>
      <c r="CSI103" s="1"/>
      <c r="CSJ103" s="1"/>
      <c r="CSK103" s="1"/>
      <c r="CSL103" s="1"/>
      <c r="CSM103" s="1"/>
      <c r="CSN103" s="1"/>
      <c r="CSO103" s="1"/>
      <c r="CSP103" s="1"/>
      <c r="CSQ103" s="1"/>
      <c r="CSR103" s="1"/>
      <c r="CSS103" s="1"/>
      <c r="CST103" s="1"/>
      <c r="CSU103" s="1"/>
      <c r="CSV103" s="1"/>
      <c r="CSW103" s="1"/>
      <c r="CSX103" s="1"/>
      <c r="CSY103" s="1"/>
      <c r="CSZ103" s="1"/>
      <c r="CTA103" s="1"/>
      <c r="CTB103" s="1"/>
      <c r="CTC103" s="1"/>
      <c r="CTD103" s="1"/>
      <c r="CTE103" s="1"/>
      <c r="CTF103" s="1"/>
      <c r="CTG103" s="1"/>
      <c r="CTH103" s="1"/>
      <c r="CTI103" s="1"/>
      <c r="CTJ103" s="1"/>
      <c r="CTK103" s="1"/>
      <c r="CTL103" s="1"/>
      <c r="CTM103" s="1"/>
      <c r="CTN103" s="1"/>
      <c r="CTO103" s="1"/>
      <c r="CTP103" s="1"/>
      <c r="CTQ103" s="1"/>
      <c r="CTR103" s="1"/>
      <c r="CTS103" s="1"/>
      <c r="CTT103" s="1"/>
      <c r="CTU103" s="1"/>
      <c r="CTV103" s="1"/>
      <c r="CTW103" s="1"/>
      <c r="CTX103" s="1"/>
      <c r="CTY103" s="1"/>
      <c r="CTZ103" s="1"/>
      <c r="CUA103" s="1"/>
      <c r="CUB103" s="1"/>
      <c r="CUC103" s="1"/>
      <c r="CUD103" s="1"/>
      <c r="CUE103" s="1"/>
      <c r="CUF103" s="1"/>
      <c r="CUG103" s="1"/>
      <c r="CUH103" s="1"/>
      <c r="CUI103" s="1"/>
      <c r="CUJ103" s="1"/>
      <c r="CUK103" s="1"/>
      <c r="CUL103" s="1"/>
      <c r="CUM103" s="1"/>
      <c r="CUN103" s="1"/>
      <c r="CUO103" s="1"/>
      <c r="CUP103" s="1"/>
      <c r="CUQ103" s="1"/>
      <c r="CUR103" s="1"/>
      <c r="CUS103" s="1"/>
      <c r="CUT103" s="1"/>
      <c r="CUU103" s="1"/>
      <c r="CUV103" s="1"/>
      <c r="CUW103" s="1"/>
      <c r="CUX103" s="1"/>
      <c r="CUY103" s="1"/>
      <c r="CUZ103" s="1"/>
      <c r="CVA103" s="1"/>
      <c r="CVB103" s="1"/>
      <c r="CVC103" s="1"/>
      <c r="CVD103" s="1"/>
      <c r="CVE103" s="1"/>
      <c r="CVF103" s="1"/>
      <c r="CVG103" s="1"/>
      <c r="CVH103" s="1"/>
      <c r="CVI103" s="1"/>
      <c r="CVJ103" s="1"/>
      <c r="CVK103" s="1"/>
      <c r="CVL103" s="1"/>
      <c r="CVM103" s="1"/>
      <c r="CVN103" s="1"/>
      <c r="CVO103" s="1"/>
      <c r="CVP103" s="1"/>
      <c r="CVQ103" s="1"/>
      <c r="CVR103" s="1"/>
      <c r="CVS103" s="1"/>
      <c r="CVT103" s="1"/>
      <c r="CVU103" s="1"/>
      <c r="CVV103" s="1"/>
      <c r="CVW103" s="1"/>
      <c r="CVX103" s="1"/>
      <c r="CVY103" s="1"/>
      <c r="CVZ103" s="1"/>
      <c r="CWA103" s="1"/>
      <c r="CWB103" s="1"/>
      <c r="CWC103" s="1"/>
      <c r="CWD103" s="1"/>
      <c r="CWE103" s="1"/>
      <c r="CWF103" s="1"/>
      <c r="CWG103" s="1"/>
      <c r="CWH103" s="1"/>
      <c r="CWI103" s="1"/>
      <c r="CWJ103" s="1"/>
      <c r="CWK103" s="1"/>
      <c r="CWL103" s="1"/>
      <c r="CWM103" s="1"/>
      <c r="CWN103" s="1"/>
      <c r="CWO103" s="1"/>
      <c r="CWP103" s="1"/>
      <c r="CWQ103" s="1"/>
      <c r="CWR103" s="1"/>
      <c r="CWS103" s="1"/>
      <c r="CWT103" s="1"/>
      <c r="CWU103" s="1"/>
      <c r="CWV103" s="1"/>
      <c r="CWW103" s="1"/>
      <c r="CWX103" s="1"/>
      <c r="CWY103" s="1"/>
      <c r="CWZ103" s="1"/>
      <c r="CXA103" s="1"/>
      <c r="CXB103" s="1"/>
      <c r="CXC103" s="1"/>
      <c r="CXD103" s="1"/>
      <c r="CXE103" s="1"/>
      <c r="CXF103" s="1"/>
      <c r="CXG103" s="1"/>
      <c r="CXH103" s="1"/>
      <c r="CXI103" s="1"/>
      <c r="CXJ103" s="1"/>
      <c r="CXK103" s="1"/>
      <c r="CXL103" s="1"/>
      <c r="CXM103" s="1"/>
      <c r="CXN103" s="1"/>
      <c r="CXO103" s="1"/>
      <c r="CXP103" s="1"/>
      <c r="CXQ103" s="1"/>
      <c r="CXR103" s="1"/>
      <c r="CXS103" s="1"/>
      <c r="CXT103" s="1"/>
      <c r="CXU103" s="1"/>
      <c r="CXV103" s="1"/>
      <c r="CXW103" s="1"/>
      <c r="CXX103" s="1"/>
      <c r="CXY103" s="1"/>
      <c r="CXZ103" s="1"/>
      <c r="CYA103" s="1"/>
      <c r="CYB103" s="1"/>
      <c r="CYC103" s="1"/>
      <c r="CYD103" s="1"/>
      <c r="CYE103" s="1"/>
      <c r="CYF103" s="1"/>
      <c r="CYG103" s="1"/>
      <c r="CYH103" s="1"/>
      <c r="CYI103" s="1"/>
      <c r="CYJ103" s="1"/>
      <c r="CYK103" s="1"/>
      <c r="CYL103" s="1"/>
      <c r="CYM103" s="1"/>
      <c r="CYN103" s="1"/>
      <c r="CYO103" s="1"/>
      <c r="CYP103" s="1"/>
      <c r="CYQ103" s="1"/>
      <c r="CYR103" s="1"/>
      <c r="CYS103" s="1"/>
      <c r="CYT103" s="1"/>
      <c r="CYU103" s="1"/>
      <c r="CYV103" s="1"/>
      <c r="CYW103" s="1"/>
      <c r="CYX103" s="1"/>
      <c r="CYY103" s="1"/>
      <c r="CYZ103" s="1"/>
      <c r="CZA103" s="1"/>
      <c r="CZB103" s="1"/>
      <c r="CZC103" s="1"/>
      <c r="CZD103" s="1"/>
      <c r="CZE103" s="1"/>
      <c r="CZF103" s="1"/>
      <c r="CZG103" s="1"/>
      <c r="CZH103" s="1"/>
      <c r="CZI103" s="1"/>
      <c r="CZJ103" s="1"/>
      <c r="CZK103" s="1"/>
      <c r="CZL103" s="1"/>
      <c r="CZM103" s="1"/>
      <c r="CZN103" s="1"/>
      <c r="CZO103" s="1"/>
      <c r="CZP103" s="1"/>
      <c r="CZQ103" s="1"/>
      <c r="CZR103" s="1"/>
      <c r="CZS103" s="1"/>
      <c r="CZT103" s="1"/>
      <c r="CZU103" s="1"/>
      <c r="CZV103" s="1"/>
      <c r="CZW103" s="1"/>
      <c r="CZX103" s="1"/>
      <c r="CZY103" s="1"/>
      <c r="CZZ103" s="1"/>
      <c r="DAA103" s="1"/>
      <c r="DAB103" s="1"/>
      <c r="DAC103" s="1"/>
      <c r="DAD103" s="1"/>
      <c r="DAE103" s="1"/>
      <c r="DAF103" s="1"/>
      <c r="DAG103" s="1"/>
      <c r="DAH103" s="1"/>
      <c r="DAI103" s="1"/>
      <c r="DAJ103" s="1"/>
      <c r="DAK103" s="1"/>
      <c r="DAL103" s="1"/>
      <c r="DAM103" s="1"/>
      <c r="DAN103" s="1"/>
      <c r="DAU103" s="1"/>
      <c r="DAV103" s="1"/>
      <c r="DAW103" s="1"/>
      <c r="DAX103" s="1"/>
      <c r="DAY103" s="1"/>
      <c r="DAZ103" s="1"/>
      <c r="DBA103" s="1"/>
      <c r="DBB103" s="1"/>
      <c r="DBC103" s="1"/>
      <c r="DBD103" s="1"/>
      <c r="DBE103" s="1"/>
      <c r="DBF103" s="1"/>
      <c r="DBG103" s="1"/>
      <c r="DBH103" s="1"/>
      <c r="DBI103" s="1"/>
      <c r="DBJ103" s="1"/>
      <c r="DBK103" s="1"/>
      <c r="DBL103" s="1"/>
      <c r="DBM103" s="1"/>
      <c r="DBN103" s="1"/>
      <c r="DBO103" s="1"/>
      <c r="DBP103" s="1"/>
      <c r="DBQ103" s="1"/>
      <c r="DBR103" s="1"/>
      <c r="DBS103" s="1"/>
      <c r="DBT103" s="1"/>
      <c r="DBU103" s="1"/>
      <c r="DBV103" s="1"/>
      <c r="DBW103" s="1"/>
      <c r="DBX103" s="1"/>
      <c r="DBY103" s="1"/>
      <c r="DBZ103" s="1"/>
      <c r="DCA103" s="1"/>
      <c r="DCB103" s="1"/>
      <c r="DCC103" s="1"/>
      <c r="DCD103" s="1"/>
      <c r="DCE103" s="1"/>
      <c r="DCF103" s="1"/>
      <c r="DCG103" s="1"/>
      <c r="DCH103" s="1"/>
      <c r="DCI103" s="1"/>
      <c r="DCJ103" s="1"/>
      <c r="DCK103" s="1"/>
      <c r="DCL103" s="1"/>
      <c r="DCM103" s="1"/>
      <c r="DCN103" s="1"/>
      <c r="DCO103" s="1"/>
      <c r="DCP103" s="1"/>
      <c r="DCQ103" s="1"/>
      <c r="DCR103" s="1"/>
      <c r="DCS103" s="1"/>
      <c r="DCT103" s="1"/>
      <c r="DCU103" s="1"/>
      <c r="DCV103" s="1"/>
      <c r="DCW103" s="1"/>
      <c r="DCX103" s="1"/>
      <c r="DCY103" s="1"/>
      <c r="DCZ103" s="1"/>
      <c r="DDA103" s="1"/>
      <c r="DDB103" s="1"/>
      <c r="DDC103" s="1"/>
      <c r="DDD103" s="1"/>
      <c r="DDE103" s="1"/>
      <c r="DDF103" s="1"/>
      <c r="DDG103" s="1"/>
      <c r="DDH103" s="1"/>
      <c r="DDI103" s="1"/>
      <c r="DDJ103" s="1"/>
      <c r="DDK103" s="1"/>
      <c r="DDL103" s="1"/>
      <c r="DDM103" s="1"/>
      <c r="DDN103" s="1"/>
      <c r="DDO103" s="1"/>
      <c r="DDP103" s="1"/>
      <c r="DDQ103" s="1"/>
      <c r="DDR103" s="1"/>
      <c r="DDS103" s="1"/>
      <c r="DDT103" s="1"/>
      <c r="DDU103" s="1"/>
      <c r="DDV103" s="1"/>
      <c r="DDW103" s="1"/>
      <c r="DDX103" s="1"/>
      <c r="DDY103" s="1"/>
      <c r="DDZ103" s="1"/>
      <c r="DEA103" s="1"/>
      <c r="DEB103" s="1"/>
      <c r="DEC103" s="1"/>
      <c r="DED103" s="1"/>
      <c r="DEE103" s="1"/>
      <c r="DEF103" s="1"/>
      <c r="DEG103" s="1"/>
      <c r="DEH103" s="1"/>
      <c r="DEI103" s="1"/>
      <c r="DEJ103" s="1"/>
      <c r="DEK103" s="1"/>
      <c r="DEL103" s="1"/>
      <c r="DEM103" s="1"/>
      <c r="DEN103" s="1"/>
      <c r="DEO103" s="1"/>
      <c r="DEP103" s="1"/>
      <c r="DEQ103" s="1"/>
      <c r="DER103" s="1"/>
      <c r="DES103" s="1"/>
      <c r="DET103" s="1"/>
      <c r="DEU103" s="1"/>
      <c r="DEV103" s="1"/>
      <c r="DEW103" s="1"/>
      <c r="DEX103" s="1"/>
      <c r="DEY103" s="1"/>
      <c r="DEZ103" s="1"/>
      <c r="DFA103" s="1"/>
      <c r="DFB103" s="1"/>
      <c r="DFC103" s="1"/>
      <c r="DFD103" s="1"/>
      <c r="DFE103" s="1"/>
      <c r="DFF103" s="1"/>
      <c r="DFG103" s="1"/>
      <c r="DFH103" s="1"/>
      <c r="DFI103" s="1"/>
      <c r="DFJ103" s="1"/>
      <c r="DFK103" s="1"/>
      <c r="DFL103" s="1"/>
      <c r="DFM103" s="1"/>
      <c r="DFN103" s="1"/>
      <c r="DFO103" s="1"/>
      <c r="DFP103" s="1"/>
      <c r="DFQ103" s="1"/>
      <c r="DFR103" s="1"/>
      <c r="DFS103" s="1"/>
      <c r="DFT103" s="1"/>
      <c r="DFU103" s="1"/>
      <c r="DFV103" s="1"/>
      <c r="DFW103" s="1"/>
      <c r="DFX103" s="1"/>
      <c r="DFY103" s="1"/>
      <c r="DFZ103" s="1"/>
      <c r="DGA103" s="1"/>
      <c r="DGB103" s="1"/>
      <c r="DGC103" s="1"/>
      <c r="DGD103" s="1"/>
      <c r="DGE103" s="1"/>
      <c r="DGF103" s="1"/>
      <c r="DGG103" s="1"/>
      <c r="DGH103" s="1"/>
      <c r="DGI103" s="1"/>
      <c r="DGJ103" s="1"/>
      <c r="DGK103" s="1"/>
      <c r="DGL103" s="1"/>
      <c r="DGM103" s="1"/>
      <c r="DGN103" s="1"/>
      <c r="DGO103" s="1"/>
      <c r="DGP103" s="1"/>
      <c r="DGQ103" s="1"/>
      <c r="DGR103" s="1"/>
      <c r="DGS103" s="1"/>
      <c r="DGT103" s="1"/>
      <c r="DGU103" s="1"/>
      <c r="DGV103" s="1"/>
      <c r="DGW103" s="1"/>
      <c r="DGX103" s="1"/>
      <c r="DGY103" s="1"/>
      <c r="DGZ103" s="1"/>
      <c r="DHA103" s="1"/>
      <c r="DHB103" s="1"/>
      <c r="DHC103" s="1"/>
      <c r="DHD103" s="1"/>
      <c r="DHE103" s="1"/>
      <c r="DHF103" s="1"/>
      <c r="DHG103" s="1"/>
      <c r="DHH103" s="1"/>
      <c r="DHI103" s="1"/>
      <c r="DHJ103" s="1"/>
      <c r="DHK103" s="1"/>
      <c r="DHL103" s="1"/>
      <c r="DHM103" s="1"/>
      <c r="DHN103" s="1"/>
      <c r="DHO103" s="1"/>
      <c r="DHP103" s="1"/>
      <c r="DHQ103" s="1"/>
      <c r="DHR103" s="1"/>
      <c r="DHS103" s="1"/>
      <c r="DHT103" s="1"/>
      <c r="DHU103" s="1"/>
      <c r="DHV103" s="1"/>
      <c r="DHW103" s="1"/>
      <c r="DHX103" s="1"/>
      <c r="DHY103" s="1"/>
      <c r="DHZ103" s="1"/>
      <c r="DIA103" s="1"/>
      <c r="DIB103" s="1"/>
      <c r="DIC103" s="1"/>
      <c r="DID103" s="1"/>
      <c r="DIE103" s="1"/>
      <c r="DIF103" s="1"/>
      <c r="DIG103" s="1"/>
      <c r="DIH103" s="1"/>
      <c r="DII103" s="1"/>
      <c r="DIJ103" s="1"/>
      <c r="DIK103" s="1"/>
      <c r="DIL103" s="1"/>
      <c r="DIM103" s="1"/>
      <c r="DIN103" s="1"/>
      <c r="DIO103" s="1"/>
      <c r="DIP103" s="1"/>
      <c r="DIQ103" s="1"/>
      <c r="DIR103" s="1"/>
      <c r="DIS103" s="1"/>
      <c r="DIT103" s="1"/>
      <c r="DIU103" s="1"/>
      <c r="DIV103" s="1"/>
      <c r="DIW103" s="1"/>
      <c r="DIX103" s="1"/>
      <c r="DIY103" s="1"/>
      <c r="DIZ103" s="1"/>
      <c r="DJA103" s="1"/>
      <c r="DJB103" s="1"/>
      <c r="DJC103" s="1"/>
      <c r="DJD103" s="1"/>
      <c r="DJE103" s="1"/>
      <c r="DJF103" s="1"/>
      <c r="DJG103" s="1"/>
      <c r="DJH103" s="1"/>
      <c r="DJI103" s="1"/>
      <c r="DJJ103" s="1"/>
      <c r="DJK103" s="1"/>
      <c r="DJL103" s="1"/>
      <c r="DJM103" s="1"/>
      <c r="DJN103" s="1"/>
      <c r="DJO103" s="1"/>
      <c r="DJP103" s="1"/>
      <c r="DJQ103" s="1"/>
      <c r="DJR103" s="1"/>
      <c r="DJS103" s="1"/>
      <c r="DJT103" s="1"/>
      <c r="DJU103" s="1"/>
      <c r="DJV103" s="1"/>
      <c r="DJW103" s="1"/>
      <c r="DJX103" s="1"/>
      <c r="DJY103" s="1"/>
      <c r="DJZ103" s="1"/>
      <c r="DKA103" s="1"/>
      <c r="DKB103" s="1"/>
      <c r="DKC103" s="1"/>
      <c r="DKD103" s="1"/>
      <c r="DKE103" s="1"/>
      <c r="DKF103" s="1"/>
      <c r="DKG103" s="1"/>
      <c r="DKH103" s="1"/>
      <c r="DKI103" s="1"/>
      <c r="DKJ103" s="1"/>
      <c r="DKQ103" s="1"/>
      <c r="DKR103" s="1"/>
      <c r="DKS103" s="1"/>
      <c r="DKT103" s="1"/>
      <c r="DKU103" s="1"/>
      <c r="DKV103" s="1"/>
      <c r="DKW103" s="1"/>
      <c r="DKX103" s="1"/>
      <c r="DKY103" s="1"/>
      <c r="DKZ103" s="1"/>
      <c r="DLA103" s="1"/>
      <c r="DLB103" s="1"/>
      <c r="DLC103" s="1"/>
      <c r="DLD103" s="1"/>
      <c r="DLE103" s="1"/>
      <c r="DLF103" s="1"/>
      <c r="DLG103" s="1"/>
      <c r="DLH103" s="1"/>
      <c r="DLI103" s="1"/>
      <c r="DLJ103" s="1"/>
      <c r="DLK103" s="1"/>
      <c r="DLL103" s="1"/>
      <c r="DLM103" s="1"/>
      <c r="DLN103" s="1"/>
      <c r="DLO103" s="1"/>
      <c r="DLP103" s="1"/>
      <c r="DLQ103" s="1"/>
      <c r="DLR103" s="1"/>
      <c r="DLS103" s="1"/>
      <c r="DLT103" s="1"/>
      <c r="DLU103" s="1"/>
      <c r="DLV103" s="1"/>
      <c r="DLW103" s="1"/>
      <c r="DLX103" s="1"/>
      <c r="DLY103" s="1"/>
      <c r="DLZ103" s="1"/>
      <c r="DMA103" s="1"/>
      <c r="DMB103" s="1"/>
      <c r="DMC103" s="1"/>
      <c r="DMD103" s="1"/>
      <c r="DME103" s="1"/>
      <c r="DMF103" s="1"/>
      <c r="DMG103" s="1"/>
      <c r="DMH103" s="1"/>
      <c r="DMI103" s="1"/>
      <c r="DMJ103" s="1"/>
      <c r="DMK103" s="1"/>
      <c r="DML103" s="1"/>
      <c r="DMM103" s="1"/>
      <c r="DMN103" s="1"/>
      <c r="DMO103" s="1"/>
      <c r="DMP103" s="1"/>
      <c r="DMQ103" s="1"/>
      <c r="DMR103" s="1"/>
      <c r="DMS103" s="1"/>
      <c r="DMT103" s="1"/>
      <c r="DMU103" s="1"/>
      <c r="DMV103" s="1"/>
      <c r="DMW103" s="1"/>
      <c r="DMX103" s="1"/>
      <c r="DMY103" s="1"/>
      <c r="DMZ103" s="1"/>
      <c r="DNA103" s="1"/>
      <c r="DNB103" s="1"/>
      <c r="DNC103" s="1"/>
      <c r="DND103" s="1"/>
      <c r="DNE103" s="1"/>
      <c r="DNF103" s="1"/>
      <c r="DNG103" s="1"/>
      <c r="DNH103" s="1"/>
      <c r="DNI103" s="1"/>
      <c r="DNJ103" s="1"/>
      <c r="DNK103" s="1"/>
      <c r="DNL103" s="1"/>
      <c r="DNM103" s="1"/>
      <c r="DNN103" s="1"/>
      <c r="DNO103" s="1"/>
      <c r="DNP103" s="1"/>
      <c r="DNQ103" s="1"/>
      <c r="DNR103" s="1"/>
      <c r="DNS103" s="1"/>
      <c r="DNT103" s="1"/>
      <c r="DNU103" s="1"/>
      <c r="DNV103" s="1"/>
      <c r="DNW103" s="1"/>
      <c r="DNX103" s="1"/>
      <c r="DNY103" s="1"/>
      <c r="DNZ103" s="1"/>
      <c r="DOA103" s="1"/>
      <c r="DOB103" s="1"/>
      <c r="DOC103" s="1"/>
      <c r="DOD103" s="1"/>
      <c r="DOE103" s="1"/>
      <c r="DOF103" s="1"/>
      <c r="DOG103" s="1"/>
      <c r="DOH103" s="1"/>
      <c r="DOI103" s="1"/>
      <c r="DOJ103" s="1"/>
      <c r="DOK103" s="1"/>
      <c r="DOL103" s="1"/>
      <c r="DOM103" s="1"/>
      <c r="DON103" s="1"/>
      <c r="DOO103" s="1"/>
      <c r="DOP103" s="1"/>
      <c r="DOQ103" s="1"/>
      <c r="DOR103" s="1"/>
      <c r="DOS103" s="1"/>
      <c r="DOT103" s="1"/>
      <c r="DOU103" s="1"/>
      <c r="DOV103" s="1"/>
      <c r="DOW103" s="1"/>
      <c r="DOX103" s="1"/>
      <c r="DOY103" s="1"/>
      <c r="DOZ103" s="1"/>
      <c r="DPA103" s="1"/>
      <c r="DPB103" s="1"/>
      <c r="DPC103" s="1"/>
      <c r="DPD103" s="1"/>
      <c r="DPE103" s="1"/>
      <c r="DPF103" s="1"/>
      <c r="DPG103" s="1"/>
      <c r="DPH103" s="1"/>
      <c r="DPI103" s="1"/>
      <c r="DPJ103" s="1"/>
      <c r="DPK103" s="1"/>
      <c r="DPL103" s="1"/>
      <c r="DPM103" s="1"/>
      <c r="DPN103" s="1"/>
      <c r="DPO103" s="1"/>
      <c r="DPP103" s="1"/>
      <c r="DPQ103" s="1"/>
      <c r="DPR103" s="1"/>
      <c r="DPS103" s="1"/>
      <c r="DPT103" s="1"/>
      <c r="DPU103" s="1"/>
      <c r="DPV103" s="1"/>
      <c r="DPW103" s="1"/>
      <c r="DPX103" s="1"/>
      <c r="DPY103" s="1"/>
      <c r="DPZ103" s="1"/>
      <c r="DQA103" s="1"/>
      <c r="DQB103" s="1"/>
      <c r="DQC103" s="1"/>
      <c r="DQD103" s="1"/>
      <c r="DQE103" s="1"/>
      <c r="DQF103" s="1"/>
      <c r="DQG103" s="1"/>
      <c r="DQH103" s="1"/>
      <c r="DQI103" s="1"/>
      <c r="DQJ103" s="1"/>
      <c r="DQK103" s="1"/>
      <c r="DQL103" s="1"/>
      <c r="DQM103" s="1"/>
      <c r="DQN103" s="1"/>
      <c r="DQO103" s="1"/>
      <c r="DQP103" s="1"/>
      <c r="DQQ103" s="1"/>
      <c r="DQR103" s="1"/>
      <c r="DQS103" s="1"/>
      <c r="DQT103" s="1"/>
      <c r="DQU103" s="1"/>
      <c r="DQV103" s="1"/>
      <c r="DQW103" s="1"/>
      <c r="DQX103" s="1"/>
      <c r="DQY103" s="1"/>
      <c r="DQZ103" s="1"/>
      <c r="DRA103" s="1"/>
      <c r="DRB103" s="1"/>
      <c r="DRC103" s="1"/>
      <c r="DRD103" s="1"/>
      <c r="DRE103" s="1"/>
      <c r="DRF103" s="1"/>
      <c r="DRG103" s="1"/>
      <c r="DRH103" s="1"/>
      <c r="DRI103" s="1"/>
      <c r="DRJ103" s="1"/>
      <c r="DRK103" s="1"/>
      <c r="DRL103" s="1"/>
      <c r="DRM103" s="1"/>
      <c r="DRN103" s="1"/>
      <c r="DRO103" s="1"/>
      <c r="DRP103" s="1"/>
      <c r="DRQ103" s="1"/>
      <c r="DRR103" s="1"/>
      <c r="DRS103" s="1"/>
      <c r="DRT103" s="1"/>
      <c r="DRU103" s="1"/>
      <c r="DRV103" s="1"/>
      <c r="DRW103" s="1"/>
      <c r="DRX103" s="1"/>
      <c r="DRY103" s="1"/>
      <c r="DRZ103" s="1"/>
      <c r="DSA103" s="1"/>
      <c r="DSB103" s="1"/>
      <c r="DSC103" s="1"/>
      <c r="DSD103" s="1"/>
      <c r="DSE103" s="1"/>
      <c r="DSF103" s="1"/>
      <c r="DSG103" s="1"/>
      <c r="DSH103" s="1"/>
      <c r="DSI103" s="1"/>
      <c r="DSJ103" s="1"/>
      <c r="DSK103" s="1"/>
      <c r="DSL103" s="1"/>
      <c r="DSM103" s="1"/>
      <c r="DSN103" s="1"/>
      <c r="DSO103" s="1"/>
      <c r="DSP103" s="1"/>
      <c r="DSQ103" s="1"/>
      <c r="DSR103" s="1"/>
      <c r="DSS103" s="1"/>
      <c r="DST103" s="1"/>
      <c r="DSU103" s="1"/>
      <c r="DSV103" s="1"/>
      <c r="DSW103" s="1"/>
      <c r="DSX103" s="1"/>
      <c r="DSY103" s="1"/>
      <c r="DSZ103" s="1"/>
      <c r="DTA103" s="1"/>
      <c r="DTB103" s="1"/>
      <c r="DTC103" s="1"/>
      <c r="DTD103" s="1"/>
      <c r="DTE103" s="1"/>
      <c r="DTF103" s="1"/>
      <c r="DTG103" s="1"/>
      <c r="DTH103" s="1"/>
      <c r="DTI103" s="1"/>
      <c r="DTJ103" s="1"/>
      <c r="DTK103" s="1"/>
      <c r="DTL103" s="1"/>
      <c r="DTM103" s="1"/>
      <c r="DTN103" s="1"/>
      <c r="DTO103" s="1"/>
      <c r="DTP103" s="1"/>
      <c r="DTQ103" s="1"/>
      <c r="DTR103" s="1"/>
      <c r="DTS103" s="1"/>
      <c r="DTT103" s="1"/>
      <c r="DTU103" s="1"/>
      <c r="DTV103" s="1"/>
      <c r="DTW103" s="1"/>
      <c r="DTX103" s="1"/>
      <c r="DTY103" s="1"/>
      <c r="DTZ103" s="1"/>
      <c r="DUA103" s="1"/>
      <c r="DUB103" s="1"/>
      <c r="DUC103" s="1"/>
      <c r="DUD103" s="1"/>
      <c r="DUE103" s="1"/>
      <c r="DUF103" s="1"/>
      <c r="DUM103" s="1"/>
      <c r="DUN103" s="1"/>
      <c r="DUO103" s="1"/>
      <c r="DUP103" s="1"/>
      <c r="DUQ103" s="1"/>
      <c r="DUR103" s="1"/>
      <c r="DUS103" s="1"/>
      <c r="DUT103" s="1"/>
      <c r="DUU103" s="1"/>
      <c r="DUV103" s="1"/>
      <c r="DUW103" s="1"/>
      <c r="DUX103" s="1"/>
      <c r="DUY103" s="1"/>
      <c r="DUZ103" s="1"/>
      <c r="DVA103" s="1"/>
      <c r="DVB103" s="1"/>
      <c r="DVC103" s="1"/>
      <c r="DVD103" s="1"/>
      <c r="DVE103" s="1"/>
      <c r="DVF103" s="1"/>
      <c r="DVG103" s="1"/>
      <c r="DVH103" s="1"/>
      <c r="DVI103" s="1"/>
      <c r="DVJ103" s="1"/>
      <c r="DVK103" s="1"/>
      <c r="DVL103" s="1"/>
      <c r="DVM103" s="1"/>
      <c r="DVN103" s="1"/>
      <c r="DVO103" s="1"/>
      <c r="DVP103" s="1"/>
      <c r="DVQ103" s="1"/>
      <c r="DVR103" s="1"/>
      <c r="DVS103" s="1"/>
      <c r="DVT103" s="1"/>
      <c r="DVU103" s="1"/>
      <c r="DVV103" s="1"/>
      <c r="DVW103" s="1"/>
      <c r="DVX103" s="1"/>
      <c r="DVY103" s="1"/>
      <c r="DVZ103" s="1"/>
      <c r="DWA103" s="1"/>
      <c r="DWB103" s="1"/>
      <c r="DWC103" s="1"/>
      <c r="DWD103" s="1"/>
      <c r="DWE103" s="1"/>
      <c r="DWF103" s="1"/>
      <c r="DWG103" s="1"/>
      <c r="DWH103" s="1"/>
      <c r="DWI103" s="1"/>
      <c r="DWJ103" s="1"/>
      <c r="DWK103" s="1"/>
      <c r="DWL103" s="1"/>
      <c r="DWM103" s="1"/>
      <c r="DWN103" s="1"/>
      <c r="DWO103" s="1"/>
      <c r="DWP103" s="1"/>
      <c r="DWQ103" s="1"/>
      <c r="DWR103" s="1"/>
      <c r="DWS103" s="1"/>
      <c r="DWT103" s="1"/>
      <c r="DWU103" s="1"/>
      <c r="DWV103" s="1"/>
      <c r="DWW103" s="1"/>
      <c r="DWX103" s="1"/>
      <c r="DWY103" s="1"/>
      <c r="DWZ103" s="1"/>
      <c r="DXA103" s="1"/>
      <c r="DXB103" s="1"/>
      <c r="DXC103" s="1"/>
      <c r="DXD103" s="1"/>
      <c r="DXE103" s="1"/>
      <c r="DXF103" s="1"/>
      <c r="DXG103" s="1"/>
      <c r="DXH103" s="1"/>
      <c r="DXI103" s="1"/>
      <c r="DXJ103" s="1"/>
      <c r="DXK103" s="1"/>
      <c r="DXL103" s="1"/>
      <c r="DXM103" s="1"/>
      <c r="DXN103" s="1"/>
      <c r="DXO103" s="1"/>
      <c r="DXP103" s="1"/>
      <c r="DXQ103" s="1"/>
      <c r="DXR103" s="1"/>
      <c r="DXS103" s="1"/>
      <c r="DXT103" s="1"/>
      <c r="DXU103" s="1"/>
      <c r="DXV103" s="1"/>
      <c r="DXW103" s="1"/>
      <c r="DXX103" s="1"/>
      <c r="DXY103" s="1"/>
      <c r="DXZ103" s="1"/>
      <c r="DYA103" s="1"/>
      <c r="DYB103" s="1"/>
      <c r="DYC103" s="1"/>
      <c r="DYD103" s="1"/>
      <c r="DYE103" s="1"/>
      <c r="DYF103" s="1"/>
      <c r="DYG103" s="1"/>
      <c r="DYH103" s="1"/>
      <c r="DYI103" s="1"/>
      <c r="DYJ103" s="1"/>
      <c r="DYK103" s="1"/>
      <c r="DYL103" s="1"/>
      <c r="DYM103" s="1"/>
      <c r="DYN103" s="1"/>
      <c r="DYO103" s="1"/>
      <c r="DYP103" s="1"/>
      <c r="DYQ103" s="1"/>
      <c r="DYR103" s="1"/>
      <c r="DYS103" s="1"/>
      <c r="DYT103" s="1"/>
      <c r="DYU103" s="1"/>
      <c r="DYV103" s="1"/>
      <c r="DYW103" s="1"/>
      <c r="DYX103" s="1"/>
      <c r="DYY103" s="1"/>
      <c r="DYZ103" s="1"/>
      <c r="DZA103" s="1"/>
      <c r="DZB103" s="1"/>
      <c r="DZC103" s="1"/>
      <c r="DZD103" s="1"/>
      <c r="DZE103" s="1"/>
      <c r="DZF103" s="1"/>
      <c r="DZG103" s="1"/>
      <c r="DZH103" s="1"/>
      <c r="DZI103" s="1"/>
      <c r="DZJ103" s="1"/>
      <c r="DZK103" s="1"/>
      <c r="DZL103" s="1"/>
      <c r="DZM103" s="1"/>
      <c r="DZN103" s="1"/>
      <c r="DZO103" s="1"/>
      <c r="DZP103" s="1"/>
      <c r="DZQ103" s="1"/>
      <c r="DZR103" s="1"/>
      <c r="DZS103" s="1"/>
      <c r="DZT103" s="1"/>
      <c r="DZU103" s="1"/>
      <c r="DZV103" s="1"/>
      <c r="DZW103" s="1"/>
      <c r="DZX103" s="1"/>
      <c r="DZY103" s="1"/>
      <c r="DZZ103" s="1"/>
      <c r="EAA103" s="1"/>
      <c r="EAB103" s="1"/>
      <c r="EAC103" s="1"/>
      <c r="EAD103" s="1"/>
      <c r="EAE103" s="1"/>
      <c r="EAF103" s="1"/>
      <c r="EAG103" s="1"/>
      <c r="EAH103" s="1"/>
      <c r="EAI103" s="1"/>
      <c r="EAJ103" s="1"/>
      <c r="EAK103" s="1"/>
      <c r="EAL103" s="1"/>
      <c r="EAM103" s="1"/>
      <c r="EAN103" s="1"/>
      <c r="EAO103" s="1"/>
      <c r="EAP103" s="1"/>
      <c r="EAQ103" s="1"/>
      <c r="EAR103" s="1"/>
      <c r="EAS103" s="1"/>
      <c r="EAT103" s="1"/>
      <c r="EAU103" s="1"/>
      <c r="EAV103" s="1"/>
      <c r="EAW103" s="1"/>
      <c r="EAX103" s="1"/>
      <c r="EAY103" s="1"/>
      <c r="EAZ103" s="1"/>
      <c r="EBA103" s="1"/>
      <c r="EBB103" s="1"/>
      <c r="EBC103" s="1"/>
      <c r="EBD103" s="1"/>
      <c r="EBE103" s="1"/>
      <c r="EBF103" s="1"/>
      <c r="EBG103" s="1"/>
      <c r="EBH103" s="1"/>
      <c r="EBI103" s="1"/>
      <c r="EBJ103" s="1"/>
      <c r="EBK103" s="1"/>
      <c r="EBL103" s="1"/>
      <c r="EBM103" s="1"/>
      <c r="EBN103" s="1"/>
      <c r="EBO103" s="1"/>
      <c r="EBP103" s="1"/>
      <c r="EBQ103" s="1"/>
      <c r="EBR103" s="1"/>
      <c r="EBS103" s="1"/>
      <c r="EBT103" s="1"/>
      <c r="EBU103" s="1"/>
      <c r="EBV103" s="1"/>
      <c r="EBW103" s="1"/>
      <c r="EBX103" s="1"/>
      <c r="EBY103" s="1"/>
      <c r="EBZ103" s="1"/>
      <c r="ECA103" s="1"/>
      <c r="ECB103" s="1"/>
      <c r="ECC103" s="1"/>
      <c r="ECD103" s="1"/>
      <c r="ECE103" s="1"/>
      <c r="ECF103" s="1"/>
      <c r="ECG103" s="1"/>
      <c r="ECH103" s="1"/>
      <c r="ECI103" s="1"/>
      <c r="ECJ103" s="1"/>
      <c r="ECK103" s="1"/>
      <c r="ECL103" s="1"/>
      <c r="ECM103" s="1"/>
      <c r="ECN103" s="1"/>
      <c r="ECO103" s="1"/>
      <c r="ECP103" s="1"/>
      <c r="ECQ103" s="1"/>
      <c r="ECR103" s="1"/>
      <c r="ECS103" s="1"/>
      <c r="ECT103" s="1"/>
      <c r="ECU103" s="1"/>
      <c r="ECV103" s="1"/>
      <c r="ECW103" s="1"/>
      <c r="ECX103" s="1"/>
      <c r="ECY103" s="1"/>
      <c r="ECZ103" s="1"/>
      <c r="EDA103" s="1"/>
      <c r="EDB103" s="1"/>
      <c r="EDC103" s="1"/>
      <c r="EDD103" s="1"/>
      <c r="EDE103" s="1"/>
      <c r="EDF103" s="1"/>
      <c r="EDG103" s="1"/>
      <c r="EDH103" s="1"/>
      <c r="EDI103" s="1"/>
      <c r="EDJ103" s="1"/>
      <c r="EDK103" s="1"/>
      <c r="EDL103" s="1"/>
      <c r="EDM103" s="1"/>
      <c r="EDN103" s="1"/>
      <c r="EDO103" s="1"/>
      <c r="EDP103" s="1"/>
      <c r="EDQ103" s="1"/>
      <c r="EDR103" s="1"/>
      <c r="EDS103" s="1"/>
      <c r="EDT103" s="1"/>
      <c r="EDU103" s="1"/>
      <c r="EDV103" s="1"/>
      <c r="EDW103" s="1"/>
      <c r="EDX103" s="1"/>
      <c r="EDY103" s="1"/>
      <c r="EDZ103" s="1"/>
      <c r="EEA103" s="1"/>
      <c r="EEB103" s="1"/>
      <c r="EEI103" s="1"/>
      <c r="EEJ103" s="1"/>
      <c r="EEK103" s="1"/>
      <c r="EEL103" s="1"/>
      <c r="EEM103" s="1"/>
      <c r="EEN103" s="1"/>
      <c r="EEO103" s="1"/>
      <c r="EEP103" s="1"/>
      <c r="EEQ103" s="1"/>
      <c r="EER103" s="1"/>
      <c r="EES103" s="1"/>
      <c r="EET103" s="1"/>
      <c r="EEU103" s="1"/>
      <c r="EEV103" s="1"/>
      <c r="EEW103" s="1"/>
      <c r="EEX103" s="1"/>
      <c r="EEY103" s="1"/>
      <c r="EEZ103" s="1"/>
      <c r="EFA103" s="1"/>
      <c r="EFB103" s="1"/>
      <c r="EFC103" s="1"/>
      <c r="EFD103" s="1"/>
      <c r="EFE103" s="1"/>
      <c r="EFF103" s="1"/>
      <c r="EFG103" s="1"/>
      <c r="EFH103" s="1"/>
      <c r="EFI103" s="1"/>
      <c r="EFJ103" s="1"/>
      <c r="EFK103" s="1"/>
      <c r="EFL103" s="1"/>
      <c r="EFM103" s="1"/>
      <c r="EFN103" s="1"/>
      <c r="EFO103" s="1"/>
      <c r="EFP103" s="1"/>
      <c r="EFQ103" s="1"/>
      <c r="EFR103" s="1"/>
      <c r="EFS103" s="1"/>
      <c r="EFT103" s="1"/>
      <c r="EFU103" s="1"/>
      <c r="EFV103" s="1"/>
      <c r="EFW103" s="1"/>
      <c r="EFX103" s="1"/>
      <c r="EFY103" s="1"/>
      <c r="EFZ103" s="1"/>
      <c r="EGA103" s="1"/>
      <c r="EGB103" s="1"/>
      <c r="EGC103" s="1"/>
      <c r="EGD103" s="1"/>
      <c r="EGE103" s="1"/>
      <c r="EGF103" s="1"/>
      <c r="EGG103" s="1"/>
      <c r="EGH103" s="1"/>
      <c r="EGI103" s="1"/>
      <c r="EGJ103" s="1"/>
      <c r="EGK103" s="1"/>
      <c r="EGL103" s="1"/>
      <c r="EGM103" s="1"/>
      <c r="EGN103" s="1"/>
      <c r="EGO103" s="1"/>
      <c r="EGP103" s="1"/>
      <c r="EGQ103" s="1"/>
      <c r="EGR103" s="1"/>
      <c r="EGS103" s="1"/>
      <c r="EGT103" s="1"/>
      <c r="EGU103" s="1"/>
      <c r="EGV103" s="1"/>
      <c r="EGW103" s="1"/>
      <c r="EGX103" s="1"/>
      <c r="EGY103" s="1"/>
      <c r="EGZ103" s="1"/>
      <c r="EHA103" s="1"/>
      <c r="EHB103" s="1"/>
      <c r="EHC103" s="1"/>
      <c r="EHD103" s="1"/>
      <c r="EHE103" s="1"/>
      <c r="EHF103" s="1"/>
      <c r="EHG103" s="1"/>
      <c r="EHH103" s="1"/>
      <c r="EHI103" s="1"/>
      <c r="EHJ103" s="1"/>
      <c r="EHK103" s="1"/>
      <c r="EHL103" s="1"/>
      <c r="EHM103" s="1"/>
      <c r="EHN103" s="1"/>
      <c r="EHO103" s="1"/>
      <c r="EHP103" s="1"/>
      <c r="EHQ103" s="1"/>
      <c r="EHR103" s="1"/>
      <c r="EHS103" s="1"/>
      <c r="EHT103" s="1"/>
      <c r="EHU103" s="1"/>
      <c r="EHV103" s="1"/>
      <c r="EHW103" s="1"/>
      <c r="EHX103" s="1"/>
      <c r="EHY103" s="1"/>
      <c r="EHZ103" s="1"/>
      <c r="EIA103" s="1"/>
      <c r="EIB103" s="1"/>
      <c r="EIC103" s="1"/>
      <c r="EID103" s="1"/>
      <c r="EIE103" s="1"/>
      <c r="EIF103" s="1"/>
      <c r="EIG103" s="1"/>
      <c r="EIH103" s="1"/>
      <c r="EII103" s="1"/>
      <c r="EIJ103" s="1"/>
      <c r="EIK103" s="1"/>
      <c r="EIL103" s="1"/>
      <c r="EIM103" s="1"/>
      <c r="EIN103" s="1"/>
      <c r="EIO103" s="1"/>
      <c r="EIP103" s="1"/>
      <c r="EIQ103" s="1"/>
      <c r="EIR103" s="1"/>
      <c r="EIS103" s="1"/>
      <c r="EIT103" s="1"/>
      <c r="EIU103" s="1"/>
      <c r="EIV103" s="1"/>
      <c r="EIW103" s="1"/>
      <c r="EIX103" s="1"/>
      <c r="EIY103" s="1"/>
      <c r="EIZ103" s="1"/>
      <c r="EJA103" s="1"/>
      <c r="EJB103" s="1"/>
      <c r="EJC103" s="1"/>
      <c r="EJD103" s="1"/>
      <c r="EJE103" s="1"/>
      <c r="EJF103" s="1"/>
      <c r="EJG103" s="1"/>
      <c r="EJH103" s="1"/>
      <c r="EJI103" s="1"/>
      <c r="EJJ103" s="1"/>
      <c r="EJK103" s="1"/>
      <c r="EJL103" s="1"/>
      <c r="EJM103" s="1"/>
      <c r="EJN103" s="1"/>
      <c r="EJO103" s="1"/>
      <c r="EJP103" s="1"/>
      <c r="EJQ103" s="1"/>
      <c r="EJR103" s="1"/>
      <c r="EJS103" s="1"/>
      <c r="EJT103" s="1"/>
      <c r="EJU103" s="1"/>
      <c r="EJV103" s="1"/>
      <c r="EJW103" s="1"/>
      <c r="EJX103" s="1"/>
      <c r="EJY103" s="1"/>
      <c r="EJZ103" s="1"/>
      <c r="EKA103" s="1"/>
      <c r="EKB103" s="1"/>
      <c r="EKC103" s="1"/>
      <c r="EKD103" s="1"/>
      <c r="EKE103" s="1"/>
      <c r="EKF103" s="1"/>
      <c r="EKG103" s="1"/>
      <c r="EKH103" s="1"/>
      <c r="EKI103" s="1"/>
      <c r="EKJ103" s="1"/>
      <c r="EKK103" s="1"/>
      <c r="EKL103" s="1"/>
      <c r="EKM103" s="1"/>
      <c r="EKN103" s="1"/>
      <c r="EKO103" s="1"/>
      <c r="EKP103" s="1"/>
      <c r="EKQ103" s="1"/>
      <c r="EKR103" s="1"/>
      <c r="EKS103" s="1"/>
      <c r="EKT103" s="1"/>
      <c r="EKU103" s="1"/>
      <c r="EKV103" s="1"/>
      <c r="EKW103" s="1"/>
      <c r="EKX103" s="1"/>
      <c r="EKY103" s="1"/>
      <c r="EKZ103" s="1"/>
      <c r="ELA103" s="1"/>
      <c r="ELB103" s="1"/>
      <c r="ELC103" s="1"/>
      <c r="ELD103" s="1"/>
      <c r="ELE103" s="1"/>
      <c r="ELF103" s="1"/>
      <c r="ELG103" s="1"/>
      <c r="ELH103" s="1"/>
      <c r="ELI103" s="1"/>
      <c r="ELJ103" s="1"/>
      <c r="ELK103" s="1"/>
      <c r="ELL103" s="1"/>
      <c r="ELM103" s="1"/>
      <c r="ELN103" s="1"/>
      <c r="ELO103" s="1"/>
      <c r="ELP103" s="1"/>
      <c r="ELQ103" s="1"/>
      <c r="ELR103" s="1"/>
      <c r="ELS103" s="1"/>
      <c r="ELT103" s="1"/>
      <c r="ELU103" s="1"/>
      <c r="ELV103" s="1"/>
      <c r="ELW103" s="1"/>
      <c r="ELX103" s="1"/>
      <c r="ELY103" s="1"/>
      <c r="ELZ103" s="1"/>
      <c r="EMA103" s="1"/>
      <c r="EMB103" s="1"/>
      <c r="EMC103" s="1"/>
      <c r="EMD103" s="1"/>
      <c r="EME103" s="1"/>
      <c r="EMF103" s="1"/>
      <c r="EMG103" s="1"/>
      <c r="EMH103" s="1"/>
      <c r="EMI103" s="1"/>
      <c r="EMJ103" s="1"/>
      <c r="EMK103" s="1"/>
      <c r="EML103" s="1"/>
      <c r="EMM103" s="1"/>
      <c r="EMN103" s="1"/>
      <c r="EMO103" s="1"/>
      <c r="EMP103" s="1"/>
      <c r="EMQ103" s="1"/>
      <c r="EMR103" s="1"/>
      <c r="EMS103" s="1"/>
      <c r="EMT103" s="1"/>
      <c r="EMU103" s="1"/>
      <c r="EMV103" s="1"/>
      <c r="EMW103" s="1"/>
      <c r="EMX103" s="1"/>
      <c r="EMY103" s="1"/>
      <c r="EMZ103" s="1"/>
      <c r="ENA103" s="1"/>
      <c r="ENB103" s="1"/>
      <c r="ENC103" s="1"/>
      <c r="END103" s="1"/>
      <c r="ENE103" s="1"/>
      <c r="ENF103" s="1"/>
      <c r="ENG103" s="1"/>
      <c r="ENH103" s="1"/>
      <c r="ENI103" s="1"/>
      <c r="ENJ103" s="1"/>
      <c r="ENK103" s="1"/>
      <c r="ENL103" s="1"/>
      <c r="ENM103" s="1"/>
      <c r="ENN103" s="1"/>
      <c r="ENO103" s="1"/>
      <c r="ENP103" s="1"/>
      <c r="ENQ103" s="1"/>
      <c r="ENR103" s="1"/>
      <c r="ENS103" s="1"/>
      <c r="ENT103" s="1"/>
      <c r="ENU103" s="1"/>
      <c r="ENV103" s="1"/>
      <c r="ENW103" s="1"/>
      <c r="ENX103" s="1"/>
      <c r="EOE103" s="1"/>
      <c r="EOF103" s="1"/>
      <c r="EOG103" s="1"/>
      <c r="EOH103" s="1"/>
      <c r="EOI103" s="1"/>
      <c r="EOJ103" s="1"/>
      <c r="EOK103" s="1"/>
      <c r="EOL103" s="1"/>
      <c r="EOM103" s="1"/>
      <c r="EON103" s="1"/>
      <c r="EOO103" s="1"/>
      <c r="EOP103" s="1"/>
      <c r="EOQ103" s="1"/>
      <c r="EOR103" s="1"/>
      <c r="EOS103" s="1"/>
      <c r="EOT103" s="1"/>
      <c r="EOU103" s="1"/>
      <c r="EOV103" s="1"/>
      <c r="EOW103" s="1"/>
      <c r="EOX103" s="1"/>
      <c r="EOY103" s="1"/>
      <c r="EOZ103" s="1"/>
      <c r="EPA103" s="1"/>
      <c r="EPB103" s="1"/>
      <c r="EPC103" s="1"/>
      <c r="EPD103" s="1"/>
      <c r="EPE103" s="1"/>
      <c r="EPF103" s="1"/>
      <c r="EPG103" s="1"/>
      <c r="EPH103" s="1"/>
      <c r="EPI103" s="1"/>
      <c r="EPJ103" s="1"/>
      <c r="EPK103" s="1"/>
      <c r="EPL103" s="1"/>
      <c r="EPM103" s="1"/>
      <c r="EPN103" s="1"/>
      <c r="EPO103" s="1"/>
      <c r="EPP103" s="1"/>
      <c r="EPQ103" s="1"/>
      <c r="EPR103" s="1"/>
      <c r="EPS103" s="1"/>
      <c r="EPT103" s="1"/>
      <c r="EPU103" s="1"/>
      <c r="EPV103" s="1"/>
      <c r="EPW103" s="1"/>
      <c r="EPX103" s="1"/>
      <c r="EPY103" s="1"/>
      <c r="EPZ103" s="1"/>
      <c r="EQA103" s="1"/>
      <c r="EQB103" s="1"/>
      <c r="EQC103" s="1"/>
      <c r="EQD103" s="1"/>
      <c r="EQE103" s="1"/>
      <c r="EQF103" s="1"/>
      <c r="EQG103" s="1"/>
      <c r="EQH103" s="1"/>
      <c r="EQI103" s="1"/>
      <c r="EQJ103" s="1"/>
      <c r="EQK103" s="1"/>
      <c r="EQL103" s="1"/>
      <c r="EQM103" s="1"/>
      <c r="EQN103" s="1"/>
      <c r="EQO103" s="1"/>
      <c r="EQP103" s="1"/>
      <c r="EQQ103" s="1"/>
      <c r="EQR103" s="1"/>
      <c r="EQS103" s="1"/>
      <c r="EQT103" s="1"/>
      <c r="EQU103" s="1"/>
      <c r="EQV103" s="1"/>
      <c r="EQW103" s="1"/>
      <c r="EQX103" s="1"/>
      <c r="EQY103" s="1"/>
      <c r="EQZ103" s="1"/>
      <c r="ERA103" s="1"/>
      <c r="ERB103" s="1"/>
      <c r="ERC103" s="1"/>
      <c r="ERD103" s="1"/>
      <c r="ERE103" s="1"/>
      <c r="ERF103" s="1"/>
      <c r="ERG103" s="1"/>
      <c r="ERH103" s="1"/>
      <c r="ERI103" s="1"/>
      <c r="ERJ103" s="1"/>
      <c r="ERK103" s="1"/>
      <c r="ERL103" s="1"/>
      <c r="ERM103" s="1"/>
      <c r="ERN103" s="1"/>
      <c r="ERO103" s="1"/>
      <c r="ERP103" s="1"/>
      <c r="ERQ103" s="1"/>
      <c r="ERR103" s="1"/>
      <c r="ERS103" s="1"/>
      <c r="ERT103" s="1"/>
      <c r="ERU103" s="1"/>
      <c r="ERV103" s="1"/>
      <c r="ERW103" s="1"/>
      <c r="ERX103" s="1"/>
      <c r="ERY103" s="1"/>
      <c r="ERZ103" s="1"/>
      <c r="ESA103" s="1"/>
      <c r="ESB103" s="1"/>
      <c r="ESC103" s="1"/>
      <c r="ESD103" s="1"/>
      <c r="ESE103" s="1"/>
      <c r="ESF103" s="1"/>
      <c r="ESG103" s="1"/>
      <c r="ESH103" s="1"/>
      <c r="ESI103" s="1"/>
      <c r="ESJ103" s="1"/>
      <c r="ESK103" s="1"/>
      <c r="ESL103" s="1"/>
      <c r="ESM103" s="1"/>
      <c r="ESN103" s="1"/>
      <c r="ESO103" s="1"/>
      <c r="ESP103" s="1"/>
      <c r="ESQ103" s="1"/>
      <c r="ESR103" s="1"/>
      <c r="ESS103" s="1"/>
      <c r="EST103" s="1"/>
      <c r="ESU103" s="1"/>
      <c r="ESV103" s="1"/>
      <c r="ESW103" s="1"/>
      <c r="ESX103" s="1"/>
      <c r="ESY103" s="1"/>
      <c r="ESZ103" s="1"/>
      <c r="ETA103" s="1"/>
      <c r="ETB103" s="1"/>
      <c r="ETC103" s="1"/>
      <c r="ETD103" s="1"/>
      <c r="ETE103" s="1"/>
      <c r="ETF103" s="1"/>
      <c r="ETG103" s="1"/>
      <c r="ETH103" s="1"/>
      <c r="ETI103" s="1"/>
      <c r="ETJ103" s="1"/>
      <c r="ETK103" s="1"/>
      <c r="ETL103" s="1"/>
      <c r="ETM103" s="1"/>
      <c r="ETN103" s="1"/>
      <c r="ETO103" s="1"/>
      <c r="ETP103" s="1"/>
      <c r="ETQ103" s="1"/>
      <c r="ETR103" s="1"/>
      <c r="ETS103" s="1"/>
      <c r="ETT103" s="1"/>
      <c r="ETU103" s="1"/>
      <c r="ETV103" s="1"/>
      <c r="ETW103" s="1"/>
      <c r="ETX103" s="1"/>
      <c r="ETY103" s="1"/>
      <c r="ETZ103" s="1"/>
      <c r="EUA103" s="1"/>
      <c r="EUB103" s="1"/>
      <c r="EUC103" s="1"/>
      <c r="EUD103" s="1"/>
      <c r="EUE103" s="1"/>
      <c r="EUF103" s="1"/>
      <c r="EUG103" s="1"/>
      <c r="EUH103" s="1"/>
      <c r="EUI103" s="1"/>
      <c r="EUJ103" s="1"/>
      <c r="EUK103" s="1"/>
      <c r="EUL103" s="1"/>
      <c r="EUM103" s="1"/>
      <c r="EUN103" s="1"/>
      <c r="EUO103" s="1"/>
      <c r="EUP103" s="1"/>
      <c r="EUQ103" s="1"/>
      <c r="EUR103" s="1"/>
      <c r="EUS103" s="1"/>
      <c r="EUT103" s="1"/>
      <c r="EUU103" s="1"/>
      <c r="EUV103" s="1"/>
      <c r="EUW103" s="1"/>
      <c r="EUX103" s="1"/>
      <c r="EUY103" s="1"/>
      <c r="EUZ103" s="1"/>
      <c r="EVA103" s="1"/>
      <c r="EVB103" s="1"/>
      <c r="EVC103" s="1"/>
      <c r="EVD103" s="1"/>
      <c r="EVE103" s="1"/>
      <c r="EVF103" s="1"/>
      <c r="EVG103" s="1"/>
      <c r="EVH103" s="1"/>
      <c r="EVI103" s="1"/>
      <c r="EVJ103" s="1"/>
      <c r="EVK103" s="1"/>
      <c r="EVL103" s="1"/>
      <c r="EVM103" s="1"/>
      <c r="EVN103" s="1"/>
      <c r="EVO103" s="1"/>
      <c r="EVP103" s="1"/>
      <c r="EVQ103" s="1"/>
      <c r="EVR103" s="1"/>
      <c r="EVS103" s="1"/>
      <c r="EVT103" s="1"/>
      <c r="EVU103" s="1"/>
      <c r="EVV103" s="1"/>
      <c r="EVW103" s="1"/>
      <c r="EVX103" s="1"/>
      <c r="EVY103" s="1"/>
      <c r="EVZ103" s="1"/>
      <c r="EWA103" s="1"/>
      <c r="EWB103" s="1"/>
      <c r="EWC103" s="1"/>
      <c r="EWD103" s="1"/>
      <c r="EWE103" s="1"/>
      <c r="EWF103" s="1"/>
      <c r="EWG103" s="1"/>
      <c r="EWH103" s="1"/>
      <c r="EWI103" s="1"/>
      <c r="EWJ103" s="1"/>
      <c r="EWK103" s="1"/>
      <c r="EWL103" s="1"/>
      <c r="EWM103" s="1"/>
      <c r="EWN103" s="1"/>
      <c r="EWO103" s="1"/>
      <c r="EWP103" s="1"/>
      <c r="EWQ103" s="1"/>
      <c r="EWR103" s="1"/>
      <c r="EWS103" s="1"/>
      <c r="EWT103" s="1"/>
      <c r="EWU103" s="1"/>
      <c r="EWV103" s="1"/>
      <c r="EWW103" s="1"/>
      <c r="EWX103" s="1"/>
      <c r="EWY103" s="1"/>
      <c r="EWZ103" s="1"/>
      <c r="EXA103" s="1"/>
      <c r="EXB103" s="1"/>
      <c r="EXC103" s="1"/>
      <c r="EXD103" s="1"/>
      <c r="EXE103" s="1"/>
      <c r="EXF103" s="1"/>
      <c r="EXG103" s="1"/>
      <c r="EXH103" s="1"/>
      <c r="EXI103" s="1"/>
      <c r="EXJ103" s="1"/>
      <c r="EXK103" s="1"/>
      <c r="EXL103" s="1"/>
      <c r="EXM103" s="1"/>
      <c r="EXN103" s="1"/>
      <c r="EXO103" s="1"/>
      <c r="EXP103" s="1"/>
      <c r="EXQ103" s="1"/>
      <c r="EXR103" s="1"/>
      <c r="EXS103" s="1"/>
      <c r="EXT103" s="1"/>
      <c r="EYA103" s="1"/>
      <c r="EYB103" s="1"/>
      <c r="EYC103" s="1"/>
      <c r="EYD103" s="1"/>
      <c r="EYE103" s="1"/>
      <c r="EYF103" s="1"/>
      <c r="EYG103" s="1"/>
      <c r="EYH103" s="1"/>
      <c r="EYI103" s="1"/>
      <c r="EYJ103" s="1"/>
      <c r="EYK103" s="1"/>
      <c r="EYL103" s="1"/>
      <c r="EYM103" s="1"/>
      <c r="EYN103" s="1"/>
      <c r="EYO103" s="1"/>
      <c r="EYP103" s="1"/>
      <c r="EYQ103" s="1"/>
      <c r="EYR103" s="1"/>
      <c r="EYS103" s="1"/>
      <c r="EYT103" s="1"/>
      <c r="EYU103" s="1"/>
      <c r="EYV103" s="1"/>
      <c r="EYW103" s="1"/>
      <c r="EYX103" s="1"/>
      <c r="EYY103" s="1"/>
      <c r="EYZ103" s="1"/>
      <c r="EZA103" s="1"/>
      <c r="EZB103" s="1"/>
      <c r="EZC103" s="1"/>
      <c r="EZD103" s="1"/>
      <c r="EZE103" s="1"/>
      <c r="EZF103" s="1"/>
      <c r="EZG103" s="1"/>
      <c r="EZH103" s="1"/>
      <c r="EZI103" s="1"/>
      <c r="EZJ103" s="1"/>
      <c r="EZK103" s="1"/>
      <c r="EZL103" s="1"/>
      <c r="EZM103" s="1"/>
      <c r="EZN103" s="1"/>
      <c r="EZO103" s="1"/>
      <c r="EZP103" s="1"/>
      <c r="EZQ103" s="1"/>
      <c r="EZR103" s="1"/>
      <c r="EZS103" s="1"/>
      <c r="EZT103" s="1"/>
      <c r="EZU103" s="1"/>
      <c r="EZV103" s="1"/>
      <c r="EZW103" s="1"/>
      <c r="EZX103" s="1"/>
      <c r="EZY103" s="1"/>
      <c r="EZZ103" s="1"/>
      <c r="FAA103" s="1"/>
      <c r="FAB103" s="1"/>
      <c r="FAC103" s="1"/>
      <c r="FAD103" s="1"/>
      <c r="FAE103" s="1"/>
      <c r="FAF103" s="1"/>
      <c r="FAG103" s="1"/>
      <c r="FAH103" s="1"/>
      <c r="FAI103" s="1"/>
      <c r="FAJ103" s="1"/>
      <c r="FAK103" s="1"/>
      <c r="FAL103" s="1"/>
      <c r="FAM103" s="1"/>
      <c r="FAN103" s="1"/>
      <c r="FAO103" s="1"/>
      <c r="FAP103" s="1"/>
      <c r="FAQ103" s="1"/>
      <c r="FAR103" s="1"/>
      <c r="FAS103" s="1"/>
      <c r="FAT103" s="1"/>
      <c r="FAU103" s="1"/>
      <c r="FAV103" s="1"/>
      <c r="FAW103" s="1"/>
      <c r="FAX103" s="1"/>
      <c r="FAY103" s="1"/>
      <c r="FAZ103" s="1"/>
      <c r="FBA103" s="1"/>
      <c r="FBB103" s="1"/>
      <c r="FBC103" s="1"/>
      <c r="FBD103" s="1"/>
      <c r="FBE103" s="1"/>
      <c r="FBF103" s="1"/>
      <c r="FBG103" s="1"/>
      <c r="FBH103" s="1"/>
      <c r="FBI103" s="1"/>
      <c r="FBJ103" s="1"/>
      <c r="FBK103" s="1"/>
      <c r="FBL103" s="1"/>
      <c r="FBM103" s="1"/>
      <c r="FBN103" s="1"/>
      <c r="FBO103" s="1"/>
      <c r="FBP103" s="1"/>
      <c r="FBQ103" s="1"/>
      <c r="FBR103" s="1"/>
      <c r="FBS103" s="1"/>
      <c r="FBT103" s="1"/>
      <c r="FBU103" s="1"/>
      <c r="FBV103" s="1"/>
      <c r="FBW103" s="1"/>
      <c r="FBX103" s="1"/>
      <c r="FBY103" s="1"/>
      <c r="FBZ103" s="1"/>
      <c r="FCA103" s="1"/>
      <c r="FCB103" s="1"/>
      <c r="FCC103" s="1"/>
      <c r="FCD103" s="1"/>
      <c r="FCE103" s="1"/>
      <c r="FCF103" s="1"/>
      <c r="FCG103" s="1"/>
      <c r="FCH103" s="1"/>
      <c r="FCI103" s="1"/>
      <c r="FCJ103" s="1"/>
      <c r="FCK103" s="1"/>
      <c r="FCL103" s="1"/>
      <c r="FCM103" s="1"/>
      <c r="FCN103" s="1"/>
      <c r="FCO103" s="1"/>
      <c r="FCP103" s="1"/>
      <c r="FCQ103" s="1"/>
      <c r="FCR103" s="1"/>
      <c r="FCS103" s="1"/>
      <c r="FCT103" s="1"/>
      <c r="FCU103" s="1"/>
      <c r="FCV103" s="1"/>
      <c r="FCW103" s="1"/>
      <c r="FCX103" s="1"/>
      <c r="FCY103" s="1"/>
      <c r="FCZ103" s="1"/>
      <c r="FDA103" s="1"/>
      <c r="FDB103" s="1"/>
      <c r="FDC103" s="1"/>
      <c r="FDD103" s="1"/>
      <c r="FDE103" s="1"/>
      <c r="FDF103" s="1"/>
      <c r="FDG103" s="1"/>
      <c r="FDH103" s="1"/>
      <c r="FDI103" s="1"/>
      <c r="FDJ103" s="1"/>
      <c r="FDK103" s="1"/>
      <c r="FDL103" s="1"/>
      <c r="FDM103" s="1"/>
      <c r="FDN103" s="1"/>
      <c r="FDO103" s="1"/>
      <c r="FDP103" s="1"/>
      <c r="FDQ103" s="1"/>
      <c r="FDR103" s="1"/>
      <c r="FDS103" s="1"/>
      <c r="FDT103" s="1"/>
      <c r="FDU103" s="1"/>
      <c r="FDV103" s="1"/>
      <c r="FDW103" s="1"/>
      <c r="FDX103" s="1"/>
      <c r="FDY103" s="1"/>
      <c r="FDZ103" s="1"/>
      <c r="FEA103" s="1"/>
      <c r="FEB103" s="1"/>
      <c r="FEC103" s="1"/>
      <c r="FED103" s="1"/>
      <c r="FEE103" s="1"/>
      <c r="FEF103" s="1"/>
      <c r="FEG103" s="1"/>
      <c r="FEH103" s="1"/>
      <c r="FEI103" s="1"/>
      <c r="FEJ103" s="1"/>
      <c r="FEK103" s="1"/>
      <c r="FEL103" s="1"/>
      <c r="FEM103" s="1"/>
      <c r="FEN103" s="1"/>
      <c r="FEO103" s="1"/>
      <c r="FEP103" s="1"/>
      <c r="FEQ103" s="1"/>
      <c r="FER103" s="1"/>
      <c r="FES103" s="1"/>
      <c r="FET103" s="1"/>
      <c r="FEU103" s="1"/>
      <c r="FEV103" s="1"/>
      <c r="FEW103" s="1"/>
      <c r="FEX103" s="1"/>
      <c r="FEY103" s="1"/>
      <c r="FEZ103" s="1"/>
      <c r="FFA103" s="1"/>
      <c r="FFB103" s="1"/>
      <c r="FFC103" s="1"/>
      <c r="FFD103" s="1"/>
      <c r="FFE103" s="1"/>
      <c r="FFF103" s="1"/>
      <c r="FFG103" s="1"/>
      <c r="FFH103" s="1"/>
      <c r="FFI103" s="1"/>
      <c r="FFJ103" s="1"/>
      <c r="FFK103" s="1"/>
      <c r="FFL103" s="1"/>
      <c r="FFM103" s="1"/>
      <c r="FFN103" s="1"/>
      <c r="FFO103" s="1"/>
      <c r="FFP103" s="1"/>
      <c r="FFQ103" s="1"/>
      <c r="FFR103" s="1"/>
      <c r="FFS103" s="1"/>
      <c r="FFT103" s="1"/>
      <c r="FFU103" s="1"/>
      <c r="FFV103" s="1"/>
      <c r="FFW103" s="1"/>
      <c r="FFX103" s="1"/>
      <c r="FFY103" s="1"/>
      <c r="FFZ103" s="1"/>
      <c r="FGA103" s="1"/>
      <c r="FGB103" s="1"/>
      <c r="FGC103" s="1"/>
      <c r="FGD103" s="1"/>
      <c r="FGE103" s="1"/>
      <c r="FGF103" s="1"/>
      <c r="FGG103" s="1"/>
      <c r="FGH103" s="1"/>
      <c r="FGI103" s="1"/>
      <c r="FGJ103" s="1"/>
      <c r="FGK103" s="1"/>
      <c r="FGL103" s="1"/>
      <c r="FGM103" s="1"/>
      <c r="FGN103" s="1"/>
      <c r="FGO103" s="1"/>
      <c r="FGP103" s="1"/>
      <c r="FGQ103" s="1"/>
      <c r="FGR103" s="1"/>
      <c r="FGS103" s="1"/>
      <c r="FGT103" s="1"/>
      <c r="FGU103" s="1"/>
      <c r="FGV103" s="1"/>
      <c r="FGW103" s="1"/>
      <c r="FGX103" s="1"/>
      <c r="FGY103" s="1"/>
      <c r="FGZ103" s="1"/>
      <c r="FHA103" s="1"/>
      <c r="FHB103" s="1"/>
      <c r="FHC103" s="1"/>
      <c r="FHD103" s="1"/>
      <c r="FHE103" s="1"/>
      <c r="FHF103" s="1"/>
      <c r="FHG103" s="1"/>
      <c r="FHH103" s="1"/>
      <c r="FHI103" s="1"/>
      <c r="FHJ103" s="1"/>
      <c r="FHK103" s="1"/>
      <c r="FHL103" s="1"/>
      <c r="FHM103" s="1"/>
      <c r="FHN103" s="1"/>
      <c r="FHO103" s="1"/>
      <c r="FHP103" s="1"/>
      <c r="FHW103" s="1"/>
      <c r="FHX103" s="1"/>
      <c r="FHY103" s="1"/>
      <c r="FHZ103" s="1"/>
      <c r="FIA103" s="1"/>
      <c r="FIB103" s="1"/>
      <c r="FIC103" s="1"/>
      <c r="FID103" s="1"/>
      <c r="FIE103" s="1"/>
      <c r="FIF103" s="1"/>
      <c r="FIG103" s="1"/>
      <c r="FIH103" s="1"/>
      <c r="FII103" s="1"/>
      <c r="FIJ103" s="1"/>
      <c r="FIK103" s="1"/>
      <c r="FIL103" s="1"/>
      <c r="FIM103" s="1"/>
      <c r="FIN103" s="1"/>
      <c r="FIO103" s="1"/>
      <c r="FIP103" s="1"/>
      <c r="FIQ103" s="1"/>
      <c r="FIR103" s="1"/>
      <c r="FIS103" s="1"/>
      <c r="FIT103" s="1"/>
      <c r="FIU103" s="1"/>
      <c r="FIV103" s="1"/>
      <c r="FIW103" s="1"/>
      <c r="FIX103" s="1"/>
      <c r="FIY103" s="1"/>
      <c r="FIZ103" s="1"/>
      <c r="FJA103" s="1"/>
      <c r="FJB103" s="1"/>
      <c r="FJC103" s="1"/>
      <c r="FJD103" s="1"/>
      <c r="FJE103" s="1"/>
      <c r="FJF103" s="1"/>
      <c r="FJG103" s="1"/>
      <c r="FJH103" s="1"/>
      <c r="FJI103" s="1"/>
      <c r="FJJ103" s="1"/>
      <c r="FJK103" s="1"/>
      <c r="FJL103" s="1"/>
      <c r="FJM103" s="1"/>
      <c r="FJN103" s="1"/>
      <c r="FJO103" s="1"/>
      <c r="FJP103" s="1"/>
      <c r="FJQ103" s="1"/>
      <c r="FJR103" s="1"/>
      <c r="FJS103" s="1"/>
      <c r="FJT103" s="1"/>
      <c r="FJU103" s="1"/>
      <c r="FJV103" s="1"/>
      <c r="FJW103" s="1"/>
      <c r="FJX103" s="1"/>
      <c r="FJY103" s="1"/>
      <c r="FJZ103" s="1"/>
      <c r="FKA103" s="1"/>
      <c r="FKB103" s="1"/>
      <c r="FKC103" s="1"/>
      <c r="FKD103" s="1"/>
      <c r="FKE103" s="1"/>
      <c r="FKF103" s="1"/>
      <c r="FKG103" s="1"/>
      <c r="FKH103" s="1"/>
      <c r="FKI103" s="1"/>
      <c r="FKJ103" s="1"/>
      <c r="FKK103" s="1"/>
      <c r="FKL103" s="1"/>
      <c r="FKM103" s="1"/>
      <c r="FKN103" s="1"/>
      <c r="FKO103" s="1"/>
      <c r="FKP103" s="1"/>
      <c r="FKQ103" s="1"/>
      <c r="FKR103" s="1"/>
      <c r="FKS103" s="1"/>
      <c r="FKT103" s="1"/>
      <c r="FKU103" s="1"/>
      <c r="FKV103" s="1"/>
      <c r="FKW103" s="1"/>
      <c r="FKX103" s="1"/>
      <c r="FKY103" s="1"/>
      <c r="FKZ103" s="1"/>
      <c r="FLA103" s="1"/>
      <c r="FLB103" s="1"/>
      <c r="FLC103" s="1"/>
      <c r="FLD103" s="1"/>
      <c r="FLE103" s="1"/>
      <c r="FLF103" s="1"/>
      <c r="FLG103" s="1"/>
      <c r="FLH103" s="1"/>
      <c r="FLI103" s="1"/>
      <c r="FLJ103" s="1"/>
      <c r="FLK103" s="1"/>
      <c r="FLL103" s="1"/>
      <c r="FLM103" s="1"/>
      <c r="FLN103" s="1"/>
      <c r="FLO103" s="1"/>
      <c r="FLP103" s="1"/>
      <c r="FLQ103" s="1"/>
      <c r="FLR103" s="1"/>
      <c r="FLS103" s="1"/>
      <c r="FLT103" s="1"/>
      <c r="FLU103" s="1"/>
      <c r="FLV103" s="1"/>
      <c r="FLW103" s="1"/>
      <c r="FLX103" s="1"/>
      <c r="FLY103" s="1"/>
      <c r="FLZ103" s="1"/>
      <c r="FMA103" s="1"/>
      <c r="FMB103" s="1"/>
      <c r="FMC103" s="1"/>
      <c r="FMD103" s="1"/>
      <c r="FME103" s="1"/>
      <c r="FMF103" s="1"/>
      <c r="FMG103" s="1"/>
      <c r="FMH103" s="1"/>
      <c r="FMI103" s="1"/>
      <c r="FMJ103" s="1"/>
      <c r="FMK103" s="1"/>
      <c r="FML103" s="1"/>
      <c r="FMM103" s="1"/>
      <c r="FMN103" s="1"/>
      <c r="FMO103" s="1"/>
      <c r="FMP103" s="1"/>
      <c r="FMQ103" s="1"/>
      <c r="FMR103" s="1"/>
      <c r="FMS103" s="1"/>
      <c r="FMT103" s="1"/>
      <c r="FMU103" s="1"/>
      <c r="FMV103" s="1"/>
      <c r="FMW103" s="1"/>
      <c r="FMX103" s="1"/>
      <c r="FMY103" s="1"/>
      <c r="FMZ103" s="1"/>
      <c r="FNA103" s="1"/>
      <c r="FNB103" s="1"/>
      <c r="FNC103" s="1"/>
      <c r="FND103" s="1"/>
      <c r="FNE103" s="1"/>
      <c r="FNF103" s="1"/>
      <c r="FNG103" s="1"/>
      <c r="FNH103" s="1"/>
      <c r="FNI103" s="1"/>
      <c r="FNJ103" s="1"/>
      <c r="FNK103" s="1"/>
      <c r="FNL103" s="1"/>
      <c r="FNM103" s="1"/>
      <c r="FNN103" s="1"/>
      <c r="FNO103" s="1"/>
      <c r="FNP103" s="1"/>
      <c r="FNQ103" s="1"/>
      <c r="FNR103" s="1"/>
      <c r="FNS103" s="1"/>
      <c r="FNT103" s="1"/>
      <c r="FNU103" s="1"/>
      <c r="FNV103" s="1"/>
      <c r="FNW103" s="1"/>
      <c r="FNX103" s="1"/>
      <c r="FNY103" s="1"/>
      <c r="FNZ103" s="1"/>
      <c r="FOA103" s="1"/>
      <c r="FOB103" s="1"/>
      <c r="FOC103" s="1"/>
      <c r="FOD103" s="1"/>
      <c r="FOE103" s="1"/>
      <c r="FOF103" s="1"/>
      <c r="FOG103" s="1"/>
      <c r="FOH103" s="1"/>
      <c r="FOI103" s="1"/>
      <c r="FOJ103" s="1"/>
      <c r="FOK103" s="1"/>
      <c r="FOL103" s="1"/>
      <c r="FOM103" s="1"/>
      <c r="FON103" s="1"/>
      <c r="FOO103" s="1"/>
      <c r="FOP103" s="1"/>
      <c r="FOQ103" s="1"/>
      <c r="FOR103" s="1"/>
      <c r="FOS103" s="1"/>
      <c r="FOT103" s="1"/>
      <c r="FOU103" s="1"/>
      <c r="FOV103" s="1"/>
      <c r="FOW103" s="1"/>
      <c r="FOX103" s="1"/>
      <c r="FOY103" s="1"/>
      <c r="FOZ103" s="1"/>
      <c r="FPA103" s="1"/>
      <c r="FPB103" s="1"/>
      <c r="FPC103" s="1"/>
      <c r="FPD103" s="1"/>
      <c r="FPE103" s="1"/>
      <c r="FPF103" s="1"/>
      <c r="FPG103" s="1"/>
      <c r="FPH103" s="1"/>
      <c r="FPI103" s="1"/>
      <c r="FPJ103" s="1"/>
      <c r="FPK103" s="1"/>
      <c r="FPL103" s="1"/>
      <c r="FPM103" s="1"/>
      <c r="FPN103" s="1"/>
      <c r="FPO103" s="1"/>
      <c r="FPP103" s="1"/>
      <c r="FPQ103" s="1"/>
      <c r="FPR103" s="1"/>
      <c r="FPS103" s="1"/>
      <c r="FPT103" s="1"/>
      <c r="FPU103" s="1"/>
      <c r="FPV103" s="1"/>
      <c r="FPW103" s="1"/>
      <c r="FPX103" s="1"/>
      <c r="FPY103" s="1"/>
      <c r="FPZ103" s="1"/>
      <c r="FQA103" s="1"/>
      <c r="FQB103" s="1"/>
      <c r="FQC103" s="1"/>
      <c r="FQD103" s="1"/>
      <c r="FQE103" s="1"/>
      <c r="FQF103" s="1"/>
      <c r="FQG103" s="1"/>
      <c r="FQH103" s="1"/>
      <c r="FQI103" s="1"/>
      <c r="FQJ103" s="1"/>
      <c r="FQK103" s="1"/>
      <c r="FQL103" s="1"/>
      <c r="FQM103" s="1"/>
      <c r="FQN103" s="1"/>
      <c r="FQO103" s="1"/>
      <c r="FQP103" s="1"/>
      <c r="FQQ103" s="1"/>
      <c r="FQR103" s="1"/>
      <c r="FQS103" s="1"/>
      <c r="FQT103" s="1"/>
      <c r="FQU103" s="1"/>
      <c r="FQV103" s="1"/>
      <c r="FQW103" s="1"/>
      <c r="FQX103" s="1"/>
      <c r="FQY103" s="1"/>
      <c r="FQZ103" s="1"/>
      <c r="FRA103" s="1"/>
      <c r="FRB103" s="1"/>
      <c r="FRC103" s="1"/>
      <c r="FRD103" s="1"/>
      <c r="FRE103" s="1"/>
      <c r="FRF103" s="1"/>
      <c r="FRG103" s="1"/>
      <c r="FRH103" s="1"/>
      <c r="FRI103" s="1"/>
      <c r="FRJ103" s="1"/>
      <c r="FRK103" s="1"/>
      <c r="FRL103" s="1"/>
      <c r="FRS103" s="1"/>
      <c r="FRT103" s="1"/>
      <c r="FRU103" s="1"/>
      <c r="FRV103" s="1"/>
      <c r="FRW103" s="1"/>
      <c r="FRX103" s="1"/>
      <c r="FRY103" s="1"/>
      <c r="FRZ103" s="1"/>
      <c r="FSA103" s="1"/>
      <c r="FSB103" s="1"/>
      <c r="FSC103" s="1"/>
      <c r="FSD103" s="1"/>
      <c r="FSE103" s="1"/>
      <c r="FSF103" s="1"/>
      <c r="FSG103" s="1"/>
      <c r="FSH103" s="1"/>
      <c r="FSI103" s="1"/>
      <c r="FSJ103" s="1"/>
      <c r="FSK103" s="1"/>
      <c r="FSL103" s="1"/>
      <c r="FSM103" s="1"/>
      <c r="FSN103" s="1"/>
      <c r="FSO103" s="1"/>
      <c r="FSP103" s="1"/>
      <c r="FSQ103" s="1"/>
      <c r="FSR103" s="1"/>
      <c r="FSS103" s="1"/>
      <c r="FST103" s="1"/>
      <c r="FSU103" s="1"/>
      <c r="FSV103" s="1"/>
      <c r="FSW103" s="1"/>
      <c r="FSX103" s="1"/>
      <c r="FSY103" s="1"/>
      <c r="FSZ103" s="1"/>
      <c r="FTA103" s="1"/>
      <c r="FTB103" s="1"/>
      <c r="FTC103" s="1"/>
      <c r="FTD103" s="1"/>
      <c r="FTE103" s="1"/>
      <c r="FTF103" s="1"/>
      <c r="FTG103" s="1"/>
      <c r="FTH103" s="1"/>
      <c r="FTI103" s="1"/>
      <c r="FTJ103" s="1"/>
      <c r="FTK103" s="1"/>
      <c r="FTL103" s="1"/>
      <c r="FTM103" s="1"/>
      <c r="FTN103" s="1"/>
      <c r="FTO103" s="1"/>
      <c r="FTP103" s="1"/>
      <c r="FTQ103" s="1"/>
      <c r="FTR103" s="1"/>
      <c r="FTS103" s="1"/>
      <c r="FTT103" s="1"/>
      <c r="FTU103" s="1"/>
      <c r="FTV103" s="1"/>
      <c r="FTW103" s="1"/>
      <c r="FTX103" s="1"/>
      <c r="FTY103" s="1"/>
      <c r="FTZ103" s="1"/>
      <c r="FUA103" s="1"/>
      <c r="FUB103" s="1"/>
      <c r="FUC103" s="1"/>
      <c r="FUD103" s="1"/>
      <c r="FUE103" s="1"/>
      <c r="FUF103" s="1"/>
      <c r="FUG103" s="1"/>
      <c r="FUH103" s="1"/>
      <c r="FUI103" s="1"/>
      <c r="FUJ103" s="1"/>
      <c r="FUK103" s="1"/>
      <c r="FUL103" s="1"/>
      <c r="FUM103" s="1"/>
      <c r="FUN103" s="1"/>
      <c r="FUO103" s="1"/>
      <c r="FUP103" s="1"/>
      <c r="FUQ103" s="1"/>
      <c r="FUR103" s="1"/>
      <c r="FUS103" s="1"/>
      <c r="FUT103" s="1"/>
      <c r="FUU103" s="1"/>
      <c r="FUV103" s="1"/>
      <c r="FUW103" s="1"/>
      <c r="FUX103" s="1"/>
      <c r="FUY103" s="1"/>
      <c r="FUZ103" s="1"/>
      <c r="FVA103" s="1"/>
      <c r="FVB103" s="1"/>
      <c r="FVC103" s="1"/>
      <c r="FVD103" s="1"/>
      <c r="FVE103" s="1"/>
      <c r="FVF103" s="1"/>
      <c r="FVG103" s="1"/>
      <c r="FVH103" s="1"/>
      <c r="FVI103" s="1"/>
      <c r="FVJ103" s="1"/>
      <c r="FVK103" s="1"/>
      <c r="FVL103" s="1"/>
      <c r="FVM103" s="1"/>
      <c r="FVN103" s="1"/>
      <c r="FVO103" s="1"/>
      <c r="FVP103" s="1"/>
      <c r="FVQ103" s="1"/>
      <c r="FVR103" s="1"/>
      <c r="FVS103" s="1"/>
      <c r="FVT103" s="1"/>
      <c r="FVU103" s="1"/>
      <c r="FVV103" s="1"/>
      <c r="FVW103" s="1"/>
      <c r="FVX103" s="1"/>
      <c r="FVY103" s="1"/>
      <c r="FVZ103" s="1"/>
      <c r="FWA103" s="1"/>
      <c r="FWB103" s="1"/>
      <c r="FWC103" s="1"/>
      <c r="FWD103" s="1"/>
      <c r="FWE103" s="1"/>
      <c r="FWF103" s="1"/>
      <c r="FWG103" s="1"/>
      <c r="FWH103" s="1"/>
      <c r="FWI103" s="1"/>
      <c r="FWJ103" s="1"/>
      <c r="FWK103" s="1"/>
      <c r="FWL103" s="1"/>
      <c r="FWM103" s="1"/>
      <c r="FWN103" s="1"/>
      <c r="FWO103" s="1"/>
      <c r="FWP103" s="1"/>
      <c r="FWQ103" s="1"/>
      <c r="FWR103" s="1"/>
      <c r="FWS103" s="1"/>
      <c r="FWT103" s="1"/>
      <c r="FWU103" s="1"/>
      <c r="FWV103" s="1"/>
      <c r="FWW103" s="1"/>
      <c r="FWX103" s="1"/>
      <c r="FWY103" s="1"/>
      <c r="FWZ103" s="1"/>
      <c r="FXA103" s="1"/>
      <c r="FXB103" s="1"/>
      <c r="FXC103" s="1"/>
      <c r="FXD103" s="1"/>
      <c r="FXE103" s="1"/>
      <c r="FXF103" s="1"/>
      <c r="FXG103" s="1"/>
      <c r="FXH103" s="1"/>
      <c r="FXI103" s="1"/>
      <c r="FXJ103" s="1"/>
      <c r="FXK103" s="1"/>
      <c r="FXL103" s="1"/>
      <c r="FXM103" s="1"/>
      <c r="FXN103" s="1"/>
      <c r="FXO103" s="1"/>
      <c r="FXP103" s="1"/>
      <c r="FXQ103" s="1"/>
      <c r="FXR103" s="1"/>
      <c r="FXS103" s="1"/>
      <c r="FXT103" s="1"/>
      <c r="FXU103" s="1"/>
      <c r="FXV103" s="1"/>
      <c r="FXW103" s="1"/>
      <c r="FXX103" s="1"/>
      <c r="FXY103" s="1"/>
      <c r="FXZ103" s="1"/>
      <c r="FYA103" s="1"/>
      <c r="FYB103" s="1"/>
      <c r="FYC103" s="1"/>
      <c r="FYD103" s="1"/>
      <c r="FYE103" s="1"/>
      <c r="FYF103" s="1"/>
      <c r="FYG103" s="1"/>
      <c r="FYH103" s="1"/>
      <c r="FYI103" s="1"/>
      <c r="FYJ103" s="1"/>
      <c r="FYK103" s="1"/>
      <c r="FYL103" s="1"/>
      <c r="FYM103" s="1"/>
      <c r="FYN103" s="1"/>
      <c r="FYO103" s="1"/>
      <c r="FYP103" s="1"/>
      <c r="FYQ103" s="1"/>
      <c r="FYR103" s="1"/>
      <c r="FYS103" s="1"/>
      <c r="FYT103" s="1"/>
      <c r="FYU103" s="1"/>
      <c r="FYV103" s="1"/>
      <c r="FYW103" s="1"/>
      <c r="FYX103" s="1"/>
      <c r="FYY103" s="1"/>
      <c r="FYZ103" s="1"/>
      <c r="FZA103" s="1"/>
      <c r="FZB103" s="1"/>
      <c r="FZC103" s="1"/>
      <c r="FZD103" s="1"/>
      <c r="FZE103" s="1"/>
      <c r="FZF103" s="1"/>
      <c r="FZG103" s="1"/>
      <c r="FZH103" s="1"/>
      <c r="FZI103" s="1"/>
      <c r="FZJ103" s="1"/>
      <c r="FZK103" s="1"/>
      <c r="FZL103" s="1"/>
      <c r="FZM103" s="1"/>
      <c r="FZN103" s="1"/>
      <c r="FZO103" s="1"/>
      <c r="FZP103" s="1"/>
      <c r="FZQ103" s="1"/>
      <c r="FZR103" s="1"/>
      <c r="FZS103" s="1"/>
      <c r="FZT103" s="1"/>
      <c r="FZU103" s="1"/>
      <c r="FZV103" s="1"/>
      <c r="FZW103" s="1"/>
      <c r="FZX103" s="1"/>
      <c r="FZY103" s="1"/>
      <c r="FZZ103" s="1"/>
      <c r="GAA103" s="1"/>
      <c r="GAB103" s="1"/>
      <c r="GAC103" s="1"/>
      <c r="GAD103" s="1"/>
      <c r="GAE103" s="1"/>
      <c r="GAF103" s="1"/>
      <c r="GAG103" s="1"/>
      <c r="GAH103" s="1"/>
      <c r="GAI103" s="1"/>
      <c r="GAJ103" s="1"/>
      <c r="GAK103" s="1"/>
      <c r="GAL103" s="1"/>
      <c r="GAM103" s="1"/>
      <c r="GAN103" s="1"/>
      <c r="GAO103" s="1"/>
      <c r="GAP103" s="1"/>
      <c r="GAQ103" s="1"/>
      <c r="GAR103" s="1"/>
      <c r="GAS103" s="1"/>
      <c r="GAT103" s="1"/>
      <c r="GAU103" s="1"/>
      <c r="GAV103" s="1"/>
      <c r="GAW103" s="1"/>
      <c r="GAX103" s="1"/>
      <c r="GAY103" s="1"/>
      <c r="GAZ103" s="1"/>
      <c r="GBA103" s="1"/>
      <c r="GBB103" s="1"/>
      <c r="GBC103" s="1"/>
      <c r="GBD103" s="1"/>
      <c r="GBE103" s="1"/>
      <c r="GBF103" s="1"/>
      <c r="GBG103" s="1"/>
      <c r="GBH103" s="1"/>
      <c r="GBO103" s="1"/>
      <c r="GBP103" s="1"/>
      <c r="GBQ103" s="1"/>
      <c r="GBR103" s="1"/>
      <c r="GBS103" s="1"/>
      <c r="GBT103" s="1"/>
      <c r="GBU103" s="1"/>
      <c r="GBV103" s="1"/>
      <c r="GBW103" s="1"/>
      <c r="GBX103" s="1"/>
      <c r="GBY103" s="1"/>
      <c r="GBZ103" s="1"/>
      <c r="GCA103" s="1"/>
      <c r="GCB103" s="1"/>
      <c r="GCC103" s="1"/>
      <c r="GCD103" s="1"/>
      <c r="GCE103" s="1"/>
      <c r="GCF103" s="1"/>
      <c r="GCG103" s="1"/>
      <c r="GCH103" s="1"/>
      <c r="GCI103" s="1"/>
      <c r="GCJ103" s="1"/>
      <c r="GCK103" s="1"/>
      <c r="GCL103" s="1"/>
      <c r="GCM103" s="1"/>
      <c r="GCN103" s="1"/>
      <c r="GCO103" s="1"/>
      <c r="GCP103" s="1"/>
      <c r="GCQ103" s="1"/>
      <c r="GCR103" s="1"/>
      <c r="GCS103" s="1"/>
      <c r="GCT103" s="1"/>
      <c r="GCU103" s="1"/>
      <c r="GCV103" s="1"/>
      <c r="GCW103" s="1"/>
      <c r="GCX103" s="1"/>
      <c r="GCY103" s="1"/>
      <c r="GCZ103" s="1"/>
      <c r="GDA103" s="1"/>
      <c r="GDB103" s="1"/>
      <c r="GDC103" s="1"/>
      <c r="GDD103" s="1"/>
      <c r="GDE103" s="1"/>
      <c r="GDF103" s="1"/>
      <c r="GDG103" s="1"/>
      <c r="GDH103" s="1"/>
      <c r="GDI103" s="1"/>
      <c r="GDJ103" s="1"/>
      <c r="GDK103" s="1"/>
      <c r="GDL103" s="1"/>
      <c r="GDM103" s="1"/>
      <c r="GDN103" s="1"/>
      <c r="GDO103" s="1"/>
      <c r="GDP103" s="1"/>
      <c r="GDQ103" s="1"/>
      <c r="GDR103" s="1"/>
      <c r="GDS103" s="1"/>
      <c r="GDT103" s="1"/>
      <c r="GDU103" s="1"/>
      <c r="GDV103" s="1"/>
      <c r="GDW103" s="1"/>
      <c r="GDX103" s="1"/>
      <c r="GDY103" s="1"/>
      <c r="GDZ103" s="1"/>
      <c r="GEA103" s="1"/>
      <c r="GEB103" s="1"/>
      <c r="GEC103" s="1"/>
      <c r="GED103" s="1"/>
      <c r="GEE103" s="1"/>
      <c r="GEF103" s="1"/>
      <c r="GEG103" s="1"/>
      <c r="GEH103" s="1"/>
      <c r="GEI103" s="1"/>
      <c r="GEJ103" s="1"/>
      <c r="GEK103" s="1"/>
      <c r="GEL103" s="1"/>
      <c r="GEM103" s="1"/>
      <c r="GEN103" s="1"/>
      <c r="GEO103" s="1"/>
      <c r="GEP103" s="1"/>
      <c r="GEQ103" s="1"/>
      <c r="GER103" s="1"/>
      <c r="GES103" s="1"/>
      <c r="GET103" s="1"/>
      <c r="GEU103" s="1"/>
      <c r="GEV103" s="1"/>
      <c r="GEW103" s="1"/>
      <c r="GEX103" s="1"/>
      <c r="GEY103" s="1"/>
      <c r="GEZ103" s="1"/>
      <c r="GFA103" s="1"/>
      <c r="GFB103" s="1"/>
      <c r="GFC103" s="1"/>
      <c r="GFD103" s="1"/>
      <c r="GFE103" s="1"/>
      <c r="GFF103" s="1"/>
      <c r="GFG103" s="1"/>
      <c r="GFH103" s="1"/>
      <c r="GFI103" s="1"/>
      <c r="GFJ103" s="1"/>
      <c r="GFK103" s="1"/>
      <c r="GFL103" s="1"/>
      <c r="GFM103" s="1"/>
      <c r="GFN103" s="1"/>
      <c r="GFO103" s="1"/>
      <c r="GFP103" s="1"/>
      <c r="GFQ103" s="1"/>
      <c r="GFR103" s="1"/>
      <c r="GFS103" s="1"/>
      <c r="GFT103" s="1"/>
      <c r="GFU103" s="1"/>
      <c r="GFV103" s="1"/>
      <c r="GFW103" s="1"/>
      <c r="GFX103" s="1"/>
      <c r="GFY103" s="1"/>
      <c r="GFZ103" s="1"/>
      <c r="GGA103" s="1"/>
      <c r="GGB103" s="1"/>
      <c r="GGC103" s="1"/>
      <c r="GGD103" s="1"/>
      <c r="GGE103" s="1"/>
      <c r="GGF103" s="1"/>
      <c r="GGG103" s="1"/>
      <c r="GGH103" s="1"/>
      <c r="GGI103" s="1"/>
      <c r="GGJ103" s="1"/>
      <c r="GGK103" s="1"/>
      <c r="GGL103" s="1"/>
      <c r="GGM103" s="1"/>
      <c r="GGN103" s="1"/>
      <c r="GGO103" s="1"/>
      <c r="GGP103" s="1"/>
      <c r="GGQ103" s="1"/>
      <c r="GGR103" s="1"/>
      <c r="GGS103" s="1"/>
      <c r="GGT103" s="1"/>
      <c r="GGU103" s="1"/>
      <c r="GGV103" s="1"/>
      <c r="GGW103" s="1"/>
      <c r="GGX103" s="1"/>
      <c r="GGY103" s="1"/>
      <c r="GGZ103" s="1"/>
      <c r="GHA103" s="1"/>
      <c r="GHB103" s="1"/>
      <c r="GHC103" s="1"/>
      <c r="GHD103" s="1"/>
      <c r="GHE103" s="1"/>
      <c r="GHF103" s="1"/>
      <c r="GHG103" s="1"/>
      <c r="GHH103" s="1"/>
      <c r="GHI103" s="1"/>
      <c r="GHJ103" s="1"/>
      <c r="GHK103" s="1"/>
      <c r="GHL103" s="1"/>
      <c r="GHM103" s="1"/>
      <c r="GHN103" s="1"/>
      <c r="GHO103" s="1"/>
      <c r="GHP103" s="1"/>
      <c r="GHQ103" s="1"/>
      <c r="GHR103" s="1"/>
      <c r="GHS103" s="1"/>
      <c r="GHT103" s="1"/>
      <c r="GHU103" s="1"/>
      <c r="GHV103" s="1"/>
      <c r="GHW103" s="1"/>
      <c r="GHX103" s="1"/>
      <c r="GHY103" s="1"/>
      <c r="GHZ103" s="1"/>
      <c r="GIA103" s="1"/>
      <c r="GIB103" s="1"/>
      <c r="GIC103" s="1"/>
      <c r="GID103" s="1"/>
      <c r="GIE103" s="1"/>
      <c r="GIF103" s="1"/>
      <c r="GIG103" s="1"/>
      <c r="GIH103" s="1"/>
      <c r="GII103" s="1"/>
      <c r="GIJ103" s="1"/>
      <c r="GIK103" s="1"/>
      <c r="GIL103" s="1"/>
      <c r="GIM103" s="1"/>
      <c r="GIN103" s="1"/>
      <c r="GIO103" s="1"/>
      <c r="GIP103" s="1"/>
      <c r="GIQ103" s="1"/>
      <c r="GIR103" s="1"/>
      <c r="GIS103" s="1"/>
      <c r="GIT103" s="1"/>
      <c r="GIU103" s="1"/>
      <c r="GIV103" s="1"/>
      <c r="GIW103" s="1"/>
      <c r="GIX103" s="1"/>
      <c r="GIY103" s="1"/>
      <c r="GIZ103" s="1"/>
      <c r="GJA103" s="1"/>
      <c r="GJB103" s="1"/>
      <c r="GJC103" s="1"/>
      <c r="GJD103" s="1"/>
      <c r="GJE103" s="1"/>
      <c r="GJF103" s="1"/>
      <c r="GJG103" s="1"/>
      <c r="GJH103" s="1"/>
      <c r="GJI103" s="1"/>
      <c r="GJJ103" s="1"/>
      <c r="GJK103" s="1"/>
      <c r="GJL103" s="1"/>
      <c r="GJM103" s="1"/>
      <c r="GJN103" s="1"/>
      <c r="GJO103" s="1"/>
      <c r="GJP103" s="1"/>
      <c r="GJQ103" s="1"/>
      <c r="GJR103" s="1"/>
      <c r="GJS103" s="1"/>
      <c r="GJT103" s="1"/>
      <c r="GJU103" s="1"/>
      <c r="GJV103" s="1"/>
      <c r="GJW103" s="1"/>
      <c r="GJX103" s="1"/>
      <c r="GJY103" s="1"/>
      <c r="GJZ103" s="1"/>
      <c r="GKA103" s="1"/>
      <c r="GKB103" s="1"/>
      <c r="GKC103" s="1"/>
      <c r="GKD103" s="1"/>
      <c r="GKE103" s="1"/>
      <c r="GKF103" s="1"/>
      <c r="GKG103" s="1"/>
      <c r="GKH103" s="1"/>
      <c r="GKI103" s="1"/>
      <c r="GKJ103" s="1"/>
      <c r="GKK103" s="1"/>
      <c r="GKL103" s="1"/>
      <c r="GKM103" s="1"/>
      <c r="GKN103" s="1"/>
      <c r="GKO103" s="1"/>
      <c r="GKP103" s="1"/>
      <c r="GKQ103" s="1"/>
      <c r="GKR103" s="1"/>
      <c r="GKS103" s="1"/>
      <c r="GKT103" s="1"/>
      <c r="GKU103" s="1"/>
      <c r="GKV103" s="1"/>
      <c r="GKW103" s="1"/>
      <c r="GKX103" s="1"/>
      <c r="GKY103" s="1"/>
      <c r="GKZ103" s="1"/>
      <c r="GLA103" s="1"/>
      <c r="GLB103" s="1"/>
      <c r="GLC103" s="1"/>
      <c r="GLD103" s="1"/>
      <c r="GLK103" s="1"/>
      <c r="GLL103" s="1"/>
      <c r="GLM103" s="1"/>
      <c r="GLN103" s="1"/>
      <c r="GLO103" s="1"/>
      <c r="GLP103" s="1"/>
      <c r="GLQ103" s="1"/>
      <c r="GLR103" s="1"/>
      <c r="GLS103" s="1"/>
      <c r="GLT103" s="1"/>
      <c r="GLU103" s="1"/>
      <c r="GLV103" s="1"/>
      <c r="GLW103" s="1"/>
      <c r="GLX103" s="1"/>
      <c r="GLY103" s="1"/>
      <c r="GLZ103" s="1"/>
      <c r="GMA103" s="1"/>
      <c r="GMB103" s="1"/>
      <c r="GMC103" s="1"/>
      <c r="GMD103" s="1"/>
      <c r="GME103" s="1"/>
      <c r="GMF103" s="1"/>
      <c r="GMG103" s="1"/>
      <c r="GMH103" s="1"/>
      <c r="GMI103" s="1"/>
      <c r="GMJ103" s="1"/>
      <c r="GMK103" s="1"/>
      <c r="GML103" s="1"/>
      <c r="GMM103" s="1"/>
      <c r="GMN103" s="1"/>
      <c r="GMO103" s="1"/>
      <c r="GMP103" s="1"/>
      <c r="GMQ103" s="1"/>
      <c r="GMR103" s="1"/>
      <c r="GMS103" s="1"/>
      <c r="GMT103" s="1"/>
      <c r="GMU103" s="1"/>
      <c r="GMV103" s="1"/>
      <c r="GMW103" s="1"/>
      <c r="GMX103" s="1"/>
      <c r="GMY103" s="1"/>
      <c r="GMZ103" s="1"/>
      <c r="GNA103" s="1"/>
      <c r="GNB103" s="1"/>
      <c r="GNC103" s="1"/>
      <c r="GND103" s="1"/>
      <c r="GNE103" s="1"/>
      <c r="GNF103" s="1"/>
      <c r="GNG103" s="1"/>
      <c r="GNH103" s="1"/>
      <c r="GNI103" s="1"/>
      <c r="GNJ103" s="1"/>
      <c r="GNK103" s="1"/>
      <c r="GNL103" s="1"/>
      <c r="GNM103" s="1"/>
      <c r="GNN103" s="1"/>
      <c r="GNO103" s="1"/>
      <c r="GNP103" s="1"/>
      <c r="GNQ103" s="1"/>
      <c r="GNR103" s="1"/>
      <c r="GNS103" s="1"/>
      <c r="GNT103" s="1"/>
      <c r="GNU103" s="1"/>
      <c r="GNV103" s="1"/>
      <c r="GNW103" s="1"/>
      <c r="GNX103" s="1"/>
      <c r="GNY103" s="1"/>
      <c r="GNZ103" s="1"/>
      <c r="GOA103" s="1"/>
      <c r="GOB103" s="1"/>
      <c r="GOC103" s="1"/>
      <c r="GOD103" s="1"/>
      <c r="GOE103" s="1"/>
      <c r="GOF103" s="1"/>
      <c r="GOG103" s="1"/>
      <c r="GOH103" s="1"/>
      <c r="GOI103" s="1"/>
      <c r="GOJ103" s="1"/>
      <c r="GOK103" s="1"/>
      <c r="GOL103" s="1"/>
      <c r="GOM103" s="1"/>
      <c r="GON103" s="1"/>
      <c r="GOO103" s="1"/>
      <c r="GOP103" s="1"/>
      <c r="GOQ103" s="1"/>
      <c r="GOR103" s="1"/>
      <c r="GOS103" s="1"/>
      <c r="GOT103" s="1"/>
      <c r="GOU103" s="1"/>
      <c r="GOV103" s="1"/>
      <c r="GOW103" s="1"/>
      <c r="GOX103" s="1"/>
      <c r="GOY103" s="1"/>
      <c r="GOZ103" s="1"/>
      <c r="GPA103" s="1"/>
      <c r="GPB103" s="1"/>
      <c r="GPC103" s="1"/>
      <c r="GPD103" s="1"/>
      <c r="GPE103" s="1"/>
      <c r="GPF103" s="1"/>
      <c r="GPG103" s="1"/>
      <c r="GPH103" s="1"/>
      <c r="GPI103" s="1"/>
      <c r="GPJ103" s="1"/>
      <c r="GPK103" s="1"/>
      <c r="GPL103" s="1"/>
      <c r="GPM103" s="1"/>
      <c r="GPN103" s="1"/>
      <c r="GPO103" s="1"/>
      <c r="GPP103" s="1"/>
      <c r="GPQ103" s="1"/>
      <c r="GPR103" s="1"/>
      <c r="GPS103" s="1"/>
      <c r="GPT103" s="1"/>
      <c r="GPU103" s="1"/>
      <c r="GPV103" s="1"/>
      <c r="GPW103" s="1"/>
      <c r="GPX103" s="1"/>
      <c r="GPY103" s="1"/>
      <c r="GPZ103" s="1"/>
      <c r="GQA103" s="1"/>
      <c r="GQB103" s="1"/>
      <c r="GQC103" s="1"/>
      <c r="GQD103" s="1"/>
      <c r="GQE103" s="1"/>
      <c r="GQF103" s="1"/>
      <c r="GQG103" s="1"/>
      <c r="GQH103" s="1"/>
      <c r="GQI103" s="1"/>
      <c r="GQJ103" s="1"/>
      <c r="GQK103" s="1"/>
      <c r="GQL103" s="1"/>
      <c r="GQM103" s="1"/>
      <c r="GQN103" s="1"/>
      <c r="GQO103" s="1"/>
      <c r="GQP103" s="1"/>
      <c r="GQQ103" s="1"/>
      <c r="GQR103" s="1"/>
      <c r="GQS103" s="1"/>
      <c r="GQT103" s="1"/>
      <c r="GQU103" s="1"/>
      <c r="GQV103" s="1"/>
      <c r="GQW103" s="1"/>
      <c r="GQX103" s="1"/>
      <c r="GQY103" s="1"/>
      <c r="GQZ103" s="1"/>
      <c r="GRA103" s="1"/>
      <c r="GRB103" s="1"/>
      <c r="GRC103" s="1"/>
      <c r="GRD103" s="1"/>
      <c r="GRE103" s="1"/>
      <c r="GRF103" s="1"/>
      <c r="GRG103" s="1"/>
      <c r="GRH103" s="1"/>
      <c r="GRI103" s="1"/>
      <c r="GRJ103" s="1"/>
      <c r="GRK103" s="1"/>
      <c r="GRL103" s="1"/>
      <c r="GRM103" s="1"/>
      <c r="GRN103" s="1"/>
      <c r="GRO103" s="1"/>
      <c r="GRP103" s="1"/>
      <c r="GRQ103" s="1"/>
      <c r="GRR103" s="1"/>
      <c r="GRS103" s="1"/>
      <c r="GRT103" s="1"/>
      <c r="GRU103" s="1"/>
      <c r="GRV103" s="1"/>
      <c r="GRW103" s="1"/>
      <c r="GRX103" s="1"/>
      <c r="GRY103" s="1"/>
      <c r="GRZ103" s="1"/>
      <c r="GSA103" s="1"/>
      <c r="GSB103" s="1"/>
      <c r="GSC103" s="1"/>
      <c r="GSD103" s="1"/>
      <c r="GSE103" s="1"/>
      <c r="GSF103" s="1"/>
      <c r="GSG103" s="1"/>
      <c r="GSH103" s="1"/>
      <c r="GSI103" s="1"/>
      <c r="GSJ103" s="1"/>
      <c r="GSK103" s="1"/>
      <c r="GSL103" s="1"/>
      <c r="GSM103" s="1"/>
      <c r="GSN103" s="1"/>
      <c r="GSO103" s="1"/>
      <c r="GSP103" s="1"/>
      <c r="GSQ103" s="1"/>
      <c r="GSR103" s="1"/>
      <c r="GSS103" s="1"/>
      <c r="GST103" s="1"/>
      <c r="GSU103" s="1"/>
      <c r="GSV103" s="1"/>
      <c r="GSW103" s="1"/>
      <c r="GSX103" s="1"/>
      <c r="GSY103" s="1"/>
      <c r="GSZ103" s="1"/>
      <c r="GTA103" s="1"/>
      <c r="GTB103" s="1"/>
      <c r="GTC103" s="1"/>
      <c r="GTD103" s="1"/>
      <c r="GTE103" s="1"/>
      <c r="GTF103" s="1"/>
      <c r="GTG103" s="1"/>
      <c r="GTH103" s="1"/>
      <c r="GTI103" s="1"/>
      <c r="GTJ103" s="1"/>
      <c r="GTK103" s="1"/>
      <c r="GTL103" s="1"/>
      <c r="GTM103" s="1"/>
      <c r="GTN103" s="1"/>
      <c r="GTO103" s="1"/>
      <c r="GTP103" s="1"/>
      <c r="GTQ103" s="1"/>
      <c r="GTR103" s="1"/>
      <c r="GTS103" s="1"/>
      <c r="GTT103" s="1"/>
      <c r="GTU103" s="1"/>
      <c r="GTV103" s="1"/>
      <c r="GTW103" s="1"/>
      <c r="GTX103" s="1"/>
      <c r="GTY103" s="1"/>
      <c r="GTZ103" s="1"/>
      <c r="GUA103" s="1"/>
      <c r="GUB103" s="1"/>
      <c r="GUC103" s="1"/>
      <c r="GUD103" s="1"/>
      <c r="GUE103" s="1"/>
      <c r="GUF103" s="1"/>
      <c r="GUG103" s="1"/>
      <c r="GUH103" s="1"/>
      <c r="GUI103" s="1"/>
      <c r="GUJ103" s="1"/>
      <c r="GUK103" s="1"/>
      <c r="GUL103" s="1"/>
      <c r="GUM103" s="1"/>
      <c r="GUN103" s="1"/>
      <c r="GUO103" s="1"/>
      <c r="GUP103" s="1"/>
      <c r="GUQ103" s="1"/>
      <c r="GUR103" s="1"/>
      <c r="GUS103" s="1"/>
      <c r="GUT103" s="1"/>
      <c r="GUU103" s="1"/>
      <c r="GUV103" s="1"/>
      <c r="GUW103" s="1"/>
      <c r="GUX103" s="1"/>
      <c r="GUY103" s="1"/>
      <c r="GUZ103" s="1"/>
      <c r="GVG103" s="1"/>
      <c r="GVH103" s="1"/>
      <c r="GVI103" s="1"/>
      <c r="GVJ103" s="1"/>
      <c r="GVK103" s="1"/>
      <c r="GVL103" s="1"/>
      <c r="GVM103" s="1"/>
      <c r="GVN103" s="1"/>
      <c r="GVO103" s="1"/>
      <c r="GVP103" s="1"/>
      <c r="GVQ103" s="1"/>
      <c r="GVR103" s="1"/>
      <c r="GVS103" s="1"/>
      <c r="GVT103" s="1"/>
      <c r="GVU103" s="1"/>
      <c r="GVV103" s="1"/>
      <c r="GVW103" s="1"/>
      <c r="GVX103" s="1"/>
      <c r="GVY103" s="1"/>
      <c r="GVZ103" s="1"/>
      <c r="GWA103" s="1"/>
      <c r="GWB103" s="1"/>
      <c r="GWC103" s="1"/>
      <c r="GWD103" s="1"/>
      <c r="GWE103" s="1"/>
      <c r="GWF103" s="1"/>
      <c r="GWG103" s="1"/>
      <c r="GWH103" s="1"/>
      <c r="GWI103" s="1"/>
      <c r="GWJ103" s="1"/>
      <c r="GWK103" s="1"/>
      <c r="GWL103" s="1"/>
      <c r="GWM103" s="1"/>
      <c r="GWN103" s="1"/>
      <c r="GWO103" s="1"/>
      <c r="GWP103" s="1"/>
      <c r="GWQ103" s="1"/>
      <c r="GWR103" s="1"/>
      <c r="GWS103" s="1"/>
      <c r="GWT103" s="1"/>
      <c r="GWU103" s="1"/>
      <c r="GWV103" s="1"/>
      <c r="GWW103" s="1"/>
      <c r="GWX103" s="1"/>
      <c r="GWY103" s="1"/>
      <c r="GWZ103" s="1"/>
      <c r="GXA103" s="1"/>
      <c r="GXB103" s="1"/>
      <c r="GXC103" s="1"/>
      <c r="GXD103" s="1"/>
      <c r="GXE103" s="1"/>
      <c r="GXF103" s="1"/>
      <c r="GXG103" s="1"/>
      <c r="GXH103" s="1"/>
      <c r="GXI103" s="1"/>
      <c r="GXJ103" s="1"/>
      <c r="GXK103" s="1"/>
      <c r="GXL103" s="1"/>
      <c r="GXM103" s="1"/>
      <c r="GXN103" s="1"/>
      <c r="GXO103" s="1"/>
      <c r="GXP103" s="1"/>
      <c r="GXQ103" s="1"/>
      <c r="GXR103" s="1"/>
      <c r="GXS103" s="1"/>
      <c r="GXT103" s="1"/>
      <c r="GXU103" s="1"/>
      <c r="GXV103" s="1"/>
      <c r="GXW103" s="1"/>
      <c r="GXX103" s="1"/>
      <c r="GXY103" s="1"/>
      <c r="GXZ103" s="1"/>
      <c r="GYA103" s="1"/>
      <c r="GYB103" s="1"/>
      <c r="GYC103" s="1"/>
      <c r="GYD103" s="1"/>
      <c r="GYE103" s="1"/>
      <c r="GYF103" s="1"/>
      <c r="GYG103" s="1"/>
      <c r="GYH103" s="1"/>
      <c r="GYI103" s="1"/>
      <c r="GYJ103" s="1"/>
      <c r="GYK103" s="1"/>
      <c r="GYL103" s="1"/>
      <c r="GYM103" s="1"/>
      <c r="GYN103" s="1"/>
      <c r="GYO103" s="1"/>
      <c r="GYP103" s="1"/>
      <c r="GYQ103" s="1"/>
      <c r="GYR103" s="1"/>
      <c r="GYS103" s="1"/>
      <c r="GYT103" s="1"/>
      <c r="GYU103" s="1"/>
      <c r="GYV103" s="1"/>
      <c r="GYW103" s="1"/>
      <c r="GYX103" s="1"/>
      <c r="GYY103" s="1"/>
      <c r="GYZ103" s="1"/>
      <c r="GZA103" s="1"/>
      <c r="GZB103" s="1"/>
      <c r="GZC103" s="1"/>
      <c r="GZD103" s="1"/>
      <c r="GZE103" s="1"/>
      <c r="GZF103" s="1"/>
      <c r="GZG103" s="1"/>
      <c r="GZH103" s="1"/>
      <c r="GZI103" s="1"/>
      <c r="GZJ103" s="1"/>
      <c r="GZK103" s="1"/>
      <c r="GZL103" s="1"/>
      <c r="GZM103" s="1"/>
      <c r="GZN103" s="1"/>
      <c r="GZO103" s="1"/>
      <c r="GZP103" s="1"/>
      <c r="GZQ103" s="1"/>
      <c r="GZR103" s="1"/>
      <c r="GZS103" s="1"/>
      <c r="GZT103" s="1"/>
      <c r="GZU103" s="1"/>
      <c r="GZV103" s="1"/>
      <c r="GZW103" s="1"/>
      <c r="GZX103" s="1"/>
      <c r="GZY103" s="1"/>
      <c r="GZZ103" s="1"/>
      <c r="HAA103" s="1"/>
      <c r="HAB103" s="1"/>
      <c r="HAC103" s="1"/>
      <c r="HAD103" s="1"/>
      <c r="HAE103" s="1"/>
      <c r="HAF103" s="1"/>
      <c r="HAG103" s="1"/>
      <c r="HAH103" s="1"/>
      <c r="HAI103" s="1"/>
      <c r="HAJ103" s="1"/>
      <c r="HAK103" s="1"/>
      <c r="HAL103" s="1"/>
      <c r="HAM103" s="1"/>
      <c r="HAN103" s="1"/>
      <c r="HAO103" s="1"/>
      <c r="HAP103" s="1"/>
      <c r="HAQ103" s="1"/>
      <c r="HAR103" s="1"/>
      <c r="HAS103" s="1"/>
      <c r="HAT103" s="1"/>
      <c r="HAU103" s="1"/>
      <c r="HAV103" s="1"/>
      <c r="HAW103" s="1"/>
      <c r="HAX103" s="1"/>
      <c r="HAY103" s="1"/>
      <c r="HAZ103" s="1"/>
      <c r="HBA103" s="1"/>
      <c r="HBB103" s="1"/>
      <c r="HBC103" s="1"/>
      <c r="HBD103" s="1"/>
      <c r="HBE103" s="1"/>
      <c r="HBF103" s="1"/>
      <c r="HBG103" s="1"/>
      <c r="HBH103" s="1"/>
      <c r="HBI103" s="1"/>
      <c r="HBJ103" s="1"/>
      <c r="HBK103" s="1"/>
      <c r="HBL103" s="1"/>
      <c r="HBM103" s="1"/>
      <c r="HBN103" s="1"/>
      <c r="HBO103" s="1"/>
      <c r="HBP103" s="1"/>
      <c r="HBQ103" s="1"/>
      <c r="HBR103" s="1"/>
      <c r="HBS103" s="1"/>
      <c r="HBT103" s="1"/>
      <c r="HBU103" s="1"/>
      <c r="HBV103" s="1"/>
      <c r="HBW103" s="1"/>
      <c r="HBX103" s="1"/>
      <c r="HBY103" s="1"/>
      <c r="HBZ103" s="1"/>
      <c r="HCA103" s="1"/>
      <c r="HCB103" s="1"/>
      <c r="HCC103" s="1"/>
      <c r="HCD103" s="1"/>
      <c r="HCE103" s="1"/>
      <c r="HCF103" s="1"/>
      <c r="HCG103" s="1"/>
      <c r="HCH103" s="1"/>
      <c r="HCI103" s="1"/>
      <c r="HCJ103" s="1"/>
      <c r="HCK103" s="1"/>
      <c r="HCL103" s="1"/>
      <c r="HCM103" s="1"/>
      <c r="HCN103" s="1"/>
      <c r="HCO103" s="1"/>
      <c r="HCP103" s="1"/>
      <c r="HCQ103" s="1"/>
      <c r="HCR103" s="1"/>
      <c r="HCS103" s="1"/>
      <c r="HCT103" s="1"/>
      <c r="HCU103" s="1"/>
      <c r="HCV103" s="1"/>
      <c r="HCW103" s="1"/>
      <c r="HCX103" s="1"/>
      <c r="HCY103" s="1"/>
      <c r="HCZ103" s="1"/>
      <c r="HDA103" s="1"/>
      <c r="HDB103" s="1"/>
      <c r="HDC103" s="1"/>
      <c r="HDD103" s="1"/>
      <c r="HDE103" s="1"/>
      <c r="HDF103" s="1"/>
      <c r="HDG103" s="1"/>
      <c r="HDH103" s="1"/>
      <c r="HDI103" s="1"/>
      <c r="HDJ103" s="1"/>
      <c r="HDK103" s="1"/>
      <c r="HDL103" s="1"/>
      <c r="HDM103" s="1"/>
      <c r="HDN103" s="1"/>
      <c r="HDO103" s="1"/>
      <c r="HDP103" s="1"/>
      <c r="HDQ103" s="1"/>
      <c r="HDR103" s="1"/>
      <c r="HDS103" s="1"/>
      <c r="HDT103" s="1"/>
      <c r="HDU103" s="1"/>
      <c r="HDV103" s="1"/>
      <c r="HDW103" s="1"/>
      <c r="HDX103" s="1"/>
      <c r="HDY103" s="1"/>
      <c r="HDZ103" s="1"/>
      <c r="HEA103" s="1"/>
      <c r="HEB103" s="1"/>
      <c r="HEC103" s="1"/>
      <c r="HED103" s="1"/>
      <c r="HEE103" s="1"/>
      <c r="HEF103" s="1"/>
      <c r="HEG103" s="1"/>
      <c r="HEH103" s="1"/>
      <c r="HEI103" s="1"/>
      <c r="HEJ103" s="1"/>
      <c r="HEK103" s="1"/>
      <c r="HEL103" s="1"/>
      <c r="HEM103" s="1"/>
      <c r="HEN103" s="1"/>
      <c r="HEO103" s="1"/>
      <c r="HEP103" s="1"/>
      <c r="HEQ103" s="1"/>
      <c r="HER103" s="1"/>
      <c r="HES103" s="1"/>
      <c r="HET103" s="1"/>
      <c r="HEU103" s="1"/>
      <c r="HEV103" s="1"/>
      <c r="HFC103" s="1"/>
      <c r="HFD103" s="1"/>
      <c r="HFE103" s="1"/>
      <c r="HFF103" s="1"/>
      <c r="HFG103" s="1"/>
      <c r="HFH103" s="1"/>
      <c r="HFI103" s="1"/>
      <c r="HFJ103" s="1"/>
      <c r="HFK103" s="1"/>
      <c r="HFL103" s="1"/>
      <c r="HFM103" s="1"/>
      <c r="HFN103" s="1"/>
      <c r="HFO103" s="1"/>
      <c r="HFP103" s="1"/>
      <c r="HFQ103" s="1"/>
      <c r="HFR103" s="1"/>
      <c r="HFS103" s="1"/>
      <c r="HFT103" s="1"/>
      <c r="HFU103" s="1"/>
      <c r="HFV103" s="1"/>
      <c r="HFW103" s="1"/>
      <c r="HFX103" s="1"/>
      <c r="HFY103" s="1"/>
      <c r="HFZ103" s="1"/>
      <c r="HGA103" s="1"/>
      <c r="HGB103" s="1"/>
      <c r="HGC103" s="1"/>
      <c r="HGD103" s="1"/>
      <c r="HGE103" s="1"/>
      <c r="HGF103" s="1"/>
      <c r="HGG103" s="1"/>
      <c r="HGH103" s="1"/>
      <c r="HGI103" s="1"/>
      <c r="HGJ103" s="1"/>
      <c r="HGK103" s="1"/>
      <c r="HGL103" s="1"/>
      <c r="HGM103" s="1"/>
      <c r="HGN103" s="1"/>
      <c r="HGO103" s="1"/>
      <c r="HGP103" s="1"/>
      <c r="HGQ103" s="1"/>
      <c r="HGR103" s="1"/>
      <c r="HGS103" s="1"/>
      <c r="HGT103" s="1"/>
      <c r="HGU103" s="1"/>
      <c r="HGV103" s="1"/>
      <c r="HGW103" s="1"/>
      <c r="HGX103" s="1"/>
      <c r="HGY103" s="1"/>
      <c r="HGZ103" s="1"/>
      <c r="HHA103" s="1"/>
      <c r="HHB103" s="1"/>
      <c r="HHC103" s="1"/>
      <c r="HHD103" s="1"/>
      <c r="HHE103" s="1"/>
      <c r="HHF103" s="1"/>
      <c r="HHG103" s="1"/>
      <c r="HHH103" s="1"/>
      <c r="HHI103" s="1"/>
      <c r="HHJ103" s="1"/>
      <c r="HHK103" s="1"/>
      <c r="HHL103" s="1"/>
      <c r="HHM103" s="1"/>
      <c r="HHN103" s="1"/>
      <c r="HHO103" s="1"/>
      <c r="HHP103" s="1"/>
      <c r="HHQ103" s="1"/>
      <c r="HHR103" s="1"/>
      <c r="HHS103" s="1"/>
      <c r="HHT103" s="1"/>
      <c r="HHU103" s="1"/>
      <c r="HHV103" s="1"/>
      <c r="HHW103" s="1"/>
      <c r="HHX103" s="1"/>
      <c r="HHY103" s="1"/>
      <c r="HHZ103" s="1"/>
      <c r="HIA103" s="1"/>
      <c r="HIB103" s="1"/>
      <c r="HIC103" s="1"/>
      <c r="HID103" s="1"/>
      <c r="HIE103" s="1"/>
      <c r="HIF103" s="1"/>
      <c r="HIG103" s="1"/>
      <c r="HIH103" s="1"/>
      <c r="HII103" s="1"/>
      <c r="HIJ103" s="1"/>
      <c r="HIK103" s="1"/>
      <c r="HIL103" s="1"/>
      <c r="HIM103" s="1"/>
      <c r="HIN103" s="1"/>
      <c r="HIO103" s="1"/>
      <c r="HIP103" s="1"/>
      <c r="HIQ103" s="1"/>
      <c r="HIR103" s="1"/>
      <c r="HIS103" s="1"/>
      <c r="HIT103" s="1"/>
      <c r="HIU103" s="1"/>
      <c r="HIV103" s="1"/>
      <c r="HIW103" s="1"/>
      <c r="HIX103" s="1"/>
      <c r="HIY103" s="1"/>
      <c r="HIZ103" s="1"/>
      <c r="HJA103" s="1"/>
      <c r="HJB103" s="1"/>
      <c r="HJC103" s="1"/>
      <c r="HJD103" s="1"/>
      <c r="HJE103" s="1"/>
      <c r="HJF103" s="1"/>
      <c r="HJG103" s="1"/>
      <c r="HJH103" s="1"/>
      <c r="HJI103" s="1"/>
      <c r="HJJ103" s="1"/>
      <c r="HJK103" s="1"/>
      <c r="HJL103" s="1"/>
      <c r="HJM103" s="1"/>
      <c r="HJN103" s="1"/>
      <c r="HJO103" s="1"/>
      <c r="HJP103" s="1"/>
      <c r="HJQ103" s="1"/>
      <c r="HJR103" s="1"/>
      <c r="HJS103" s="1"/>
      <c r="HJT103" s="1"/>
      <c r="HJU103" s="1"/>
      <c r="HJV103" s="1"/>
      <c r="HJW103" s="1"/>
      <c r="HJX103" s="1"/>
      <c r="HJY103" s="1"/>
      <c r="HJZ103" s="1"/>
      <c r="HKA103" s="1"/>
      <c r="HKB103" s="1"/>
      <c r="HKC103" s="1"/>
      <c r="HKD103" s="1"/>
      <c r="HKE103" s="1"/>
      <c r="HKF103" s="1"/>
      <c r="HKG103" s="1"/>
      <c r="HKH103" s="1"/>
      <c r="HKI103" s="1"/>
      <c r="HKJ103" s="1"/>
      <c r="HKK103" s="1"/>
      <c r="HKL103" s="1"/>
      <c r="HKM103" s="1"/>
      <c r="HKN103" s="1"/>
      <c r="HKO103" s="1"/>
      <c r="HKP103" s="1"/>
      <c r="HKQ103" s="1"/>
      <c r="HKR103" s="1"/>
      <c r="HKS103" s="1"/>
      <c r="HKT103" s="1"/>
      <c r="HKU103" s="1"/>
      <c r="HKV103" s="1"/>
      <c r="HKW103" s="1"/>
      <c r="HKX103" s="1"/>
      <c r="HKY103" s="1"/>
      <c r="HKZ103" s="1"/>
      <c r="HLA103" s="1"/>
      <c r="HLB103" s="1"/>
      <c r="HLC103" s="1"/>
      <c r="HLD103" s="1"/>
      <c r="HLE103" s="1"/>
      <c r="HLF103" s="1"/>
      <c r="HLG103" s="1"/>
      <c r="HLH103" s="1"/>
      <c r="HLI103" s="1"/>
      <c r="HLJ103" s="1"/>
      <c r="HLK103" s="1"/>
      <c r="HLL103" s="1"/>
      <c r="HLM103" s="1"/>
      <c r="HLN103" s="1"/>
      <c r="HLO103" s="1"/>
      <c r="HLP103" s="1"/>
      <c r="HLQ103" s="1"/>
      <c r="HLR103" s="1"/>
      <c r="HLS103" s="1"/>
      <c r="HLT103" s="1"/>
      <c r="HLU103" s="1"/>
      <c r="HLV103" s="1"/>
      <c r="HLW103" s="1"/>
      <c r="HLX103" s="1"/>
      <c r="HLY103" s="1"/>
      <c r="HLZ103" s="1"/>
      <c r="HMA103" s="1"/>
      <c r="HMB103" s="1"/>
      <c r="HMC103" s="1"/>
      <c r="HMD103" s="1"/>
      <c r="HME103" s="1"/>
      <c r="HMF103" s="1"/>
      <c r="HMG103" s="1"/>
      <c r="HMH103" s="1"/>
      <c r="HMI103" s="1"/>
      <c r="HMJ103" s="1"/>
      <c r="HMK103" s="1"/>
      <c r="HML103" s="1"/>
      <c r="HMM103" s="1"/>
      <c r="HMN103" s="1"/>
      <c r="HMO103" s="1"/>
      <c r="HMP103" s="1"/>
      <c r="HMQ103" s="1"/>
      <c r="HMR103" s="1"/>
      <c r="HMS103" s="1"/>
      <c r="HMT103" s="1"/>
      <c r="HMU103" s="1"/>
      <c r="HMV103" s="1"/>
      <c r="HMW103" s="1"/>
      <c r="HMX103" s="1"/>
      <c r="HMY103" s="1"/>
      <c r="HMZ103" s="1"/>
      <c r="HNA103" s="1"/>
      <c r="HNB103" s="1"/>
      <c r="HNC103" s="1"/>
      <c r="HND103" s="1"/>
      <c r="HNE103" s="1"/>
      <c r="HNF103" s="1"/>
      <c r="HNG103" s="1"/>
      <c r="HNH103" s="1"/>
      <c r="HNI103" s="1"/>
      <c r="HNJ103" s="1"/>
      <c r="HNK103" s="1"/>
      <c r="HNL103" s="1"/>
      <c r="HNM103" s="1"/>
      <c r="HNN103" s="1"/>
      <c r="HNO103" s="1"/>
      <c r="HNP103" s="1"/>
      <c r="HNQ103" s="1"/>
      <c r="HNR103" s="1"/>
      <c r="HNS103" s="1"/>
      <c r="HNT103" s="1"/>
      <c r="HNU103" s="1"/>
      <c r="HNV103" s="1"/>
      <c r="HNW103" s="1"/>
      <c r="HNX103" s="1"/>
      <c r="HNY103" s="1"/>
      <c r="HNZ103" s="1"/>
      <c r="HOA103" s="1"/>
      <c r="HOB103" s="1"/>
      <c r="HOC103" s="1"/>
      <c r="HOD103" s="1"/>
      <c r="HOE103" s="1"/>
      <c r="HOF103" s="1"/>
      <c r="HOG103" s="1"/>
      <c r="HOH103" s="1"/>
      <c r="HOI103" s="1"/>
      <c r="HOJ103" s="1"/>
      <c r="HOK103" s="1"/>
      <c r="HOL103" s="1"/>
      <c r="HOM103" s="1"/>
      <c r="HON103" s="1"/>
      <c r="HOO103" s="1"/>
      <c r="HOP103" s="1"/>
      <c r="HOQ103" s="1"/>
      <c r="HOR103" s="1"/>
      <c r="HOY103" s="1"/>
      <c r="HOZ103" s="1"/>
      <c r="HPA103" s="1"/>
      <c r="HPB103" s="1"/>
      <c r="HPC103" s="1"/>
      <c r="HPD103" s="1"/>
      <c r="HPE103" s="1"/>
      <c r="HPF103" s="1"/>
      <c r="HPG103" s="1"/>
      <c r="HPH103" s="1"/>
      <c r="HPI103" s="1"/>
      <c r="HPJ103" s="1"/>
      <c r="HPK103" s="1"/>
      <c r="HPL103" s="1"/>
      <c r="HPM103" s="1"/>
      <c r="HPN103" s="1"/>
      <c r="HPO103" s="1"/>
      <c r="HPP103" s="1"/>
      <c r="HPQ103" s="1"/>
      <c r="HPR103" s="1"/>
      <c r="HPS103" s="1"/>
      <c r="HPT103" s="1"/>
      <c r="HPU103" s="1"/>
      <c r="HPV103" s="1"/>
      <c r="HPW103" s="1"/>
      <c r="HPX103" s="1"/>
      <c r="HPY103" s="1"/>
      <c r="HPZ103" s="1"/>
      <c r="HQA103" s="1"/>
      <c r="HQB103" s="1"/>
      <c r="HQC103" s="1"/>
      <c r="HQD103" s="1"/>
      <c r="HQE103" s="1"/>
      <c r="HQF103" s="1"/>
      <c r="HQG103" s="1"/>
      <c r="HQH103" s="1"/>
      <c r="HQI103" s="1"/>
      <c r="HQJ103" s="1"/>
      <c r="HQK103" s="1"/>
      <c r="HQL103" s="1"/>
      <c r="HQM103" s="1"/>
      <c r="HQN103" s="1"/>
      <c r="HQO103" s="1"/>
      <c r="HQP103" s="1"/>
      <c r="HQQ103" s="1"/>
      <c r="HQR103" s="1"/>
      <c r="HQS103" s="1"/>
      <c r="HQT103" s="1"/>
      <c r="HQU103" s="1"/>
      <c r="HQV103" s="1"/>
      <c r="HQW103" s="1"/>
      <c r="HQX103" s="1"/>
      <c r="HQY103" s="1"/>
      <c r="HQZ103" s="1"/>
      <c r="HRA103" s="1"/>
      <c r="HRB103" s="1"/>
      <c r="HRC103" s="1"/>
      <c r="HRD103" s="1"/>
      <c r="HRE103" s="1"/>
      <c r="HRF103" s="1"/>
      <c r="HRG103" s="1"/>
      <c r="HRH103" s="1"/>
      <c r="HRI103" s="1"/>
      <c r="HRJ103" s="1"/>
      <c r="HRK103" s="1"/>
      <c r="HRL103" s="1"/>
      <c r="HRM103" s="1"/>
      <c r="HRN103" s="1"/>
      <c r="HRO103" s="1"/>
      <c r="HRP103" s="1"/>
      <c r="HRQ103" s="1"/>
      <c r="HRR103" s="1"/>
      <c r="HRS103" s="1"/>
      <c r="HRT103" s="1"/>
      <c r="HRU103" s="1"/>
      <c r="HRV103" s="1"/>
      <c r="HRW103" s="1"/>
      <c r="HRX103" s="1"/>
      <c r="HRY103" s="1"/>
      <c r="HRZ103" s="1"/>
      <c r="HSA103" s="1"/>
      <c r="HSB103" s="1"/>
      <c r="HSC103" s="1"/>
      <c r="HSD103" s="1"/>
      <c r="HSE103" s="1"/>
      <c r="HSF103" s="1"/>
      <c r="HSG103" s="1"/>
      <c r="HSH103" s="1"/>
      <c r="HSI103" s="1"/>
      <c r="HSJ103" s="1"/>
      <c r="HSK103" s="1"/>
      <c r="HSL103" s="1"/>
      <c r="HSM103" s="1"/>
      <c r="HSN103" s="1"/>
      <c r="HSO103" s="1"/>
      <c r="HSP103" s="1"/>
      <c r="HSQ103" s="1"/>
      <c r="HSR103" s="1"/>
      <c r="HSS103" s="1"/>
      <c r="HST103" s="1"/>
      <c r="HSU103" s="1"/>
      <c r="HSV103" s="1"/>
      <c r="HSW103" s="1"/>
      <c r="HSX103" s="1"/>
      <c r="HSY103" s="1"/>
      <c r="HSZ103" s="1"/>
      <c r="HTA103" s="1"/>
      <c r="HTB103" s="1"/>
      <c r="HTC103" s="1"/>
      <c r="HTD103" s="1"/>
      <c r="HTE103" s="1"/>
      <c r="HTF103" s="1"/>
      <c r="HTG103" s="1"/>
      <c r="HTH103" s="1"/>
      <c r="HTI103" s="1"/>
      <c r="HTJ103" s="1"/>
      <c r="HTK103" s="1"/>
      <c r="HTL103" s="1"/>
      <c r="HTM103" s="1"/>
      <c r="HTN103" s="1"/>
      <c r="HTO103" s="1"/>
      <c r="HTP103" s="1"/>
      <c r="HTQ103" s="1"/>
      <c r="HTR103" s="1"/>
      <c r="HTS103" s="1"/>
      <c r="HTT103" s="1"/>
      <c r="HTU103" s="1"/>
      <c r="HTV103" s="1"/>
      <c r="HTW103" s="1"/>
      <c r="HTX103" s="1"/>
      <c r="HTY103" s="1"/>
      <c r="HTZ103" s="1"/>
      <c r="HUA103" s="1"/>
      <c r="HUB103" s="1"/>
      <c r="HUC103" s="1"/>
      <c r="HUD103" s="1"/>
      <c r="HUE103" s="1"/>
      <c r="HUF103" s="1"/>
      <c r="HUG103" s="1"/>
      <c r="HUH103" s="1"/>
      <c r="HUI103" s="1"/>
      <c r="HUJ103" s="1"/>
      <c r="HUK103" s="1"/>
      <c r="HUL103" s="1"/>
      <c r="HUM103" s="1"/>
      <c r="HUN103" s="1"/>
      <c r="HUO103" s="1"/>
      <c r="HUP103" s="1"/>
      <c r="HUQ103" s="1"/>
      <c r="HUR103" s="1"/>
      <c r="HUS103" s="1"/>
      <c r="HUT103" s="1"/>
      <c r="HUU103" s="1"/>
      <c r="HUV103" s="1"/>
      <c r="HUW103" s="1"/>
      <c r="HUX103" s="1"/>
      <c r="HUY103" s="1"/>
      <c r="HUZ103" s="1"/>
      <c r="HVA103" s="1"/>
      <c r="HVB103" s="1"/>
      <c r="HVC103" s="1"/>
      <c r="HVD103" s="1"/>
      <c r="HVE103" s="1"/>
      <c r="HVF103" s="1"/>
      <c r="HVG103" s="1"/>
      <c r="HVH103" s="1"/>
      <c r="HVI103" s="1"/>
      <c r="HVJ103" s="1"/>
      <c r="HVK103" s="1"/>
      <c r="HVL103" s="1"/>
      <c r="HVM103" s="1"/>
      <c r="HVN103" s="1"/>
      <c r="HVO103" s="1"/>
      <c r="HVP103" s="1"/>
      <c r="HVQ103" s="1"/>
      <c r="HVR103" s="1"/>
      <c r="HVS103" s="1"/>
      <c r="HVT103" s="1"/>
      <c r="HVU103" s="1"/>
      <c r="HVV103" s="1"/>
      <c r="HVW103" s="1"/>
      <c r="HVX103" s="1"/>
      <c r="HVY103" s="1"/>
      <c r="HVZ103" s="1"/>
      <c r="HWA103" s="1"/>
      <c r="HWB103" s="1"/>
      <c r="HWC103" s="1"/>
      <c r="HWD103" s="1"/>
      <c r="HWE103" s="1"/>
      <c r="HWF103" s="1"/>
      <c r="HWG103" s="1"/>
      <c r="HWH103" s="1"/>
      <c r="HWI103" s="1"/>
      <c r="HWJ103" s="1"/>
      <c r="HWK103" s="1"/>
      <c r="HWL103" s="1"/>
      <c r="HWM103" s="1"/>
      <c r="HWN103" s="1"/>
      <c r="HWO103" s="1"/>
      <c r="HWP103" s="1"/>
      <c r="HWQ103" s="1"/>
      <c r="HWR103" s="1"/>
      <c r="HWS103" s="1"/>
      <c r="HWT103" s="1"/>
      <c r="HWU103" s="1"/>
      <c r="HWV103" s="1"/>
      <c r="HWW103" s="1"/>
      <c r="HWX103" s="1"/>
      <c r="HWY103" s="1"/>
      <c r="HWZ103" s="1"/>
      <c r="HXA103" s="1"/>
      <c r="HXB103" s="1"/>
      <c r="HXC103" s="1"/>
      <c r="HXD103" s="1"/>
      <c r="HXE103" s="1"/>
      <c r="HXF103" s="1"/>
      <c r="HXG103" s="1"/>
      <c r="HXH103" s="1"/>
      <c r="HXI103" s="1"/>
      <c r="HXJ103" s="1"/>
      <c r="HXK103" s="1"/>
      <c r="HXL103" s="1"/>
      <c r="HXM103" s="1"/>
      <c r="HXN103" s="1"/>
      <c r="HXO103" s="1"/>
      <c r="HXP103" s="1"/>
      <c r="HXQ103" s="1"/>
      <c r="HXR103" s="1"/>
      <c r="HXS103" s="1"/>
      <c r="HXT103" s="1"/>
      <c r="HXU103" s="1"/>
      <c r="HXV103" s="1"/>
      <c r="HXW103" s="1"/>
      <c r="HXX103" s="1"/>
      <c r="HXY103" s="1"/>
      <c r="HXZ103" s="1"/>
      <c r="HYA103" s="1"/>
      <c r="HYB103" s="1"/>
      <c r="HYC103" s="1"/>
      <c r="HYD103" s="1"/>
      <c r="HYE103" s="1"/>
      <c r="HYF103" s="1"/>
      <c r="HYG103" s="1"/>
      <c r="HYH103" s="1"/>
      <c r="HYI103" s="1"/>
      <c r="HYJ103" s="1"/>
      <c r="HYK103" s="1"/>
      <c r="HYL103" s="1"/>
      <c r="HYM103" s="1"/>
      <c r="HYN103" s="1"/>
      <c r="HYU103" s="1"/>
      <c r="HYV103" s="1"/>
      <c r="HYW103" s="1"/>
      <c r="HYX103" s="1"/>
      <c r="HYY103" s="1"/>
      <c r="HYZ103" s="1"/>
      <c r="HZA103" s="1"/>
      <c r="HZB103" s="1"/>
      <c r="HZC103" s="1"/>
      <c r="HZD103" s="1"/>
      <c r="HZE103" s="1"/>
      <c r="HZF103" s="1"/>
      <c r="HZG103" s="1"/>
      <c r="HZH103" s="1"/>
      <c r="HZI103" s="1"/>
      <c r="HZJ103" s="1"/>
      <c r="HZK103" s="1"/>
      <c r="HZL103" s="1"/>
      <c r="HZM103" s="1"/>
      <c r="HZN103" s="1"/>
      <c r="HZO103" s="1"/>
      <c r="HZP103" s="1"/>
      <c r="HZQ103" s="1"/>
      <c r="HZR103" s="1"/>
      <c r="HZS103" s="1"/>
      <c r="HZT103" s="1"/>
      <c r="HZU103" s="1"/>
      <c r="HZV103" s="1"/>
      <c r="HZW103" s="1"/>
      <c r="HZX103" s="1"/>
      <c r="HZY103" s="1"/>
      <c r="HZZ103" s="1"/>
      <c r="IAA103" s="1"/>
      <c r="IAB103" s="1"/>
      <c r="IAC103" s="1"/>
      <c r="IAD103" s="1"/>
      <c r="IAE103" s="1"/>
      <c r="IAF103" s="1"/>
      <c r="IAG103" s="1"/>
      <c r="IAH103" s="1"/>
      <c r="IAI103" s="1"/>
      <c r="IAJ103" s="1"/>
      <c r="IAK103" s="1"/>
      <c r="IAL103" s="1"/>
      <c r="IAM103" s="1"/>
      <c r="IAN103" s="1"/>
      <c r="IAO103" s="1"/>
      <c r="IAP103" s="1"/>
      <c r="IAQ103" s="1"/>
      <c r="IAR103" s="1"/>
      <c r="IAS103" s="1"/>
      <c r="IAT103" s="1"/>
      <c r="IAU103" s="1"/>
      <c r="IAV103" s="1"/>
      <c r="IAW103" s="1"/>
      <c r="IAX103" s="1"/>
      <c r="IAY103" s="1"/>
      <c r="IAZ103" s="1"/>
      <c r="IBA103" s="1"/>
      <c r="IBB103" s="1"/>
      <c r="IBC103" s="1"/>
      <c r="IBD103" s="1"/>
      <c r="IBE103" s="1"/>
      <c r="IBF103" s="1"/>
      <c r="IBG103" s="1"/>
      <c r="IBH103" s="1"/>
      <c r="IBI103" s="1"/>
      <c r="IBJ103" s="1"/>
      <c r="IBK103" s="1"/>
      <c r="IBL103" s="1"/>
      <c r="IBM103" s="1"/>
      <c r="IBN103" s="1"/>
      <c r="IBO103" s="1"/>
      <c r="IBP103" s="1"/>
      <c r="IBQ103" s="1"/>
      <c r="IBR103" s="1"/>
      <c r="IBS103" s="1"/>
      <c r="IBT103" s="1"/>
      <c r="IBU103" s="1"/>
      <c r="IBV103" s="1"/>
      <c r="IBW103" s="1"/>
      <c r="IBX103" s="1"/>
      <c r="IBY103" s="1"/>
      <c r="IBZ103" s="1"/>
      <c r="ICA103" s="1"/>
      <c r="ICB103" s="1"/>
      <c r="ICC103" s="1"/>
      <c r="ICD103" s="1"/>
      <c r="ICE103" s="1"/>
      <c r="ICF103" s="1"/>
      <c r="ICG103" s="1"/>
      <c r="ICH103" s="1"/>
      <c r="ICI103" s="1"/>
      <c r="ICJ103" s="1"/>
      <c r="ICK103" s="1"/>
      <c r="ICL103" s="1"/>
      <c r="ICM103" s="1"/>
      <c r="ICN103" s="1"/>
      <c r="ICO103" s="1"/>
      <c r="ICP103" s="1"/>
      <c r="ICQ103" s="1"/>
      <c r="ICR103" s="1"/>
      <c r="ICS103" s="1"/>
      <c r="ICT103" s="1"/>
      <c r="ICU103" s="1"/>
      <c r="ICV103" s="1"/>
      <c r="ICW103" s="1"/>
      <c r="ICX103" s="1"/>
      <c r="ICY103" s="1"/>
      <c r="ICZ103" s="1"/>
      <c r="IDA103" s="1"/>
      <c r="IDB103" s="1"/>
      <c r="IDC103" s="1"/>
      <c r="IDD103" s="1"/>
      <c r="IDE103" s="1"/>
      <c r="IDF103" s="1"/>
      <c r="IDG103" s="1"/>
      <c r="IDH103" s="1"/>
      <c r="IDI103" s="1"/>
      <c r="IDJ103" s="1"/>
      <c r="IDK103" s="1"/>
      <c r="IDL103" s="1"/>
      <c r="IDM103" s="1"/>
      <c r="IDN103" s="1"/>
      <c r="IDO103" s="1"/>
      <c r="IDP103" s="1"/>
      <c r="IDQ103" s="1"/>
      <c r="IDR103" s="1"/>
      <c r="IDS103" s="1"/>
      <c r="IDT103" s="1"/>
      <c r="IDU103" s="1"/>
      <c r="IDV103" s="1"/>
      <c r="IDW103" s="1"/>
      <c r="IDX103" s="1"/>
      <c r="IDY103" s="1"/>
      <c r="IDZ103" s="1"/>
      <c r="IEA103" s="1"/>
      <c r="IEB103" s="1"/>
      <c r="IEC103" s="1"/>
      <c r="IED103" s="1"/>
      <c r="IEE103" s="1"/>
      <c r="IEF103" s="1"/>
      <c r="IEG103" s="1"/>
      <c r="IEH103" s="1"/>
      <c r="IEI103" s="1"/>
      <c r="IEJ103" s="1"/>
      <c r="IEK103" s="1"/>
      <c r="IEL103" s="1"/>
      <c r="IEM103" s="1"/>
      <c r="IEN103" s="1"/>
      <c r="IEO103" s="1"/>
      <c r="IEP103" s="1"/>
      <c r="IEQ103" s="1"/>
      <c r="IER103" s="1"/>
      <c r="IES103" s="1"/>
      <c r="IET103" s="1"/>
      <c r="IEU103" s="1"/>
      <c r="IEV103" s="1"/>
      <c r="IEW103" s="1"/>
      <c r="IEX103" s="1"/>
      <c r="IEY103" s="1"/>
      <c r="IEZ103" s="1"/>
      <c r="IFA103" s="1"/>
      <c r="IFB103" s="1"/>
      <c r="IFC103" s="1"/>
      <c r="IFD103" s="1"/>
      <c r="IFE103" s="1"/>
      <c r="IFF103" s="1"/>
      <c r="IFG103" s="1"/>
      <c r="IFH103" s="1"/>
      <c r="IFI103" s="1"/>
      <c r="IFJ103" s="1"/>
      <c r="IFK103" s="1"/>
      <c r="IFL103" s="1"/>
      <c r="IFM103" s="1"/>
      <c r="IFN103" s="1"/>
      <c r="IFO103" s="1"/>
      <c r="IFP103" s="1"/>
      <c r="IFQ103" s="1"/>
      <c r="IFR103" s="1"/>
      <c r="IFS103" s="1"/>
      <c r="IFT103" s="1"/>
      <c r="IFU103" s="1"/>
      <c r="IFV103" s="1"/>
      <c r="IFW103" s="1"/>
      <c r="IFX103" s="1"/>
      <c r="IFY103" s="1"/>
      <c r="IFZ103" s="1"/>
      <c r="IGA103" s="1"/>
      <c r="IGB103" s="1"/>
      <c r="IGC103" s="1"/>
      <c r="IGD103" s="1"/>
      <c r="IGE103" s="1"/>
      <c r="IGF103" s="1"/>
      <c r="IGG103" s="1"/>
      <c r="IGH103" s="1"/>
      <c r="IGI103" s="1"/>
      <c r="IGJ103" s="1"/>
      <c r="IGK103" s="1"/>
      <c r="IGL103" s="1"/>
      <c r="IGM103" s="1"/>
      <c r="IGN103" s="1"/>
      <c r="IGO103" s="1"/>
      <c r="IGP103" s="1"/>
      <c r="IGQ103" s="1"/>
      <c r="IGR103" s="1"/>
      <c r="IGS103" s="1"/>
      <c r="IGT103" s="1"/>
      <c r="IGU103" s="1"/>
      <c r="IGV103" s="1"/>
      <c r="IGW103" s="1"/>
      <c r="IGX103" s="1"/>
      <c r="IGY103" s="1"/>
      <c r="IGZ103" s="1"/>
      <c r="IHA103" s="1"/>
      <c r="IHB103" s="1"/>
      <c r="IHC103" s="1"/>
      <c r="IHD103" s="1"/>
      <c r="IHE103" s="1"/>
      <c r="IHF103" s="1"/>
      <c r="IHG103" s="1"/>
      <c r="IHH103" s="1"/>
      <c r="IHI103" s="1"/>
      <c r="IHJ103" s="1"/>
      <c r="IHK103" s="1"/>
      <c r="IHL103" s="1"/>
      <c r="IHM103" s="1"/>
      <c r="IHN103" s="1"/>
      <c r="IHO103" s="1"/>
      <c r="IHP103" s="1"/>
      <c r="IHQ103" s="1"/>
      <c r="IHR103" s="1"/>
      <c r="IHS103" s="1"/>
      <c r="IHT103" s="1"/>
      <c r="IHU103" s="1"/>
      <c r="IHV103" s="1"/>
      <c r="IHW103" s="1"/>
      <c r="IHX103" s="1"/>
      <c r="IHY103" s="1"/>
      <c r="IHZ103" s="1"/>
      <c r="IIA103" s="1"/>
      <c r="IIB103" s="1"/>
      <c r="IIC103" s="1"/>
      <c r="IID103" s="1"/>
      <c r="IIE103" s="1"/>
      <c r="IIF103" s="1"/>
      <c r="IIG103" s="1"/>
      <c r="IIH103" s="1"/>
      <c r="III103" s="1"/>
      <c r="IIJ103" s="1"/>
      <c r="IIQ103" s="1"/>
      <c r="IIR103" s="1"/>
      <c r="IIS103" s="1"/>
      <c r="IIT103" s="1"/>
      <c r="IIU103" s="1"/>
      <c r="IIV103" s="1"/>
      <c r="IIW103" s="1"/>
      <c r="IIX103" s="1"/>
      <c r="IIY103" s="1"/>
      <c r="IIZ103" s="1"/>
      <c r="IJA103" s="1"/>
      <c r="IJB103" s="1"/>
      <c r="IJC103" s="1"/>
      <c r="IJD103" s="1"/>
      <c r="IJE103" s="1"/>
      <c r="IJF103" s="1"/>
      <c r="IJG103" s="1"/>
      <c r="IJH103" s="1"/>
      <c r="IJI103" s="1"/>
      <c r="IJJ103" s="1"/>
      <c r="IJK103" s="1"/>
      <c r="IJL103" s="1"/>
      <c r="IJM103" s="1"/>
      <c r="IJN103" s="1"/>
      <c r="IJO103" s="1"/>
      <c r="IJP103" s="1"/>
      <c r="IJQ103" s="1"/>
      <c r="IJR103" s="1"/>
      <c r="IJS103" s="1"/>
      <c r="IJT103" s="1"/>
      <c r="IJU103" s="1"/>
      <c r="IJV103" s="1"/>
      <c r="IJW103" s="1"/>
      <c r="IJX103" s="1"/>
      <c r="IJY103" s="1"/>
      <c r="IJZ103" s="1"/>
      <c r="IKA103" s="1"/>
      <c r="IKB103" s="1"/>
      <c r="IKC103" s="1"/>
      <c r="IKD103" s="1"/>
      <c r="IKE103" s="1"/>
      <c r="IKF103" s="1"/>
      <c r="IKG103" s="1"/>
      <c r="IKH103" s="1"/>
      <c r="IKI103" s="1"/>
      <c r="IKJ103" s="1"/>
      <c r="IKK103" s="1"/>
      <c r="IKL103" s="1"/>
      <c r="IKM103" s="1"/>
      <c r="IKN103" s="1"/>
      <c r="IKO103" s="1"/>
      <c r="IKP103" s="1"/>
      <c r="IKQ103" s="1"/>
      <c r="IKR103" s="1"/>
      <c r="IKS103" s="1"/>
      <c r="IKT103" s="1"/>
      <c r="IKU103" s="1"/>
      <c r="IKV103" s="1"/>
      <c r="IKW103" s="1"/>
      <c r="IKX103" s="1"/>
      <c r="IKY103" s="1"/>
      <c r="IKZ103" s="1"/>
      <c r="ILA103" s="1"/>
      <c r="ILB103" s="1"/>
      <c r="ILC103" s="1"/>
      <c r="ILD103" s="1"/>
      <c r="ILE103" s="1"/>
      <c r="ILF103" s="1"/>
      <c r="ILG103" s="1"/>
      <c r="ILH103" s="1"/>
      <c r="ILI103" s="1"/>
      <c r="ILJ103" s="1"/>
      <c r="ILK103" s="1"/>
      <c r="ILL103" s="1"/>
      <c r="ILM103" s="1"/>
      <c r="ILN103" s="1"/>
      <c r="ILO103" s="1"/>
      <c r="ILP103" s="1"/>
      <c r="ILQ103" s="1"/>
      <c r="ILR103" s="1"/>
      <c r="ILS103" s="1"/>
      <c r="ILT103" s="1"/>
      <c r="ILU103" s="1"/>
      <c r="ILV103" s="1"/>
      <c r="ILW103" s="1"/>
      <c r="ILX103" s="1"/>
      <c r="ILY103" s="1"/>
      <c r="ILZ103" s="1"/>
      <c r="IMA103" s="1"/>
      <c r="IMB103" s="1"/>
      <c r="IMC103" s="1"/>
      <c r="IMD103" s="1"/>
      <c r="IME103" s="1"/>
      <c r="IMF103" s="1"/>
      <c r="IMG103" s="1"/>
      <c r="IMH103" s="1"/>
      <c r="IMI103" s="1"/>
      <c r="IMJ103" s="1"/>
      <c r="IMK103" s="1"/>
      <c r="IML103" s="1"/>
      <c r="IMM103" s="1"/>
      <c r="IMN103" s="1"/>
      <c r="IMO103" s="1"/>
      <c r="IMP103" s="1"/>
      <c r="IMQ103" s="1"/>
      <c r="IMR103" s="1"/>
      <c r="IMS103" s="1"/>
      <c r="IMT103" s="1"/>
      <c r="IMU103" s="1"/>
      <c r="IMV103" s="1"/>
      <c r="IMW103" s="1"/>
      <c r="IMX103" s="1"/>
      <c r="IMY103" s="1"/>
      <c r="IMZ103" s="1"/>
      <c r="INA103" s="1"/>
      <c r="INB103" s="1"/>
      <c r="INC103" s="1"/>
      <c r="IND103" s="1"/>
      <c r="INE103" s="1"/>
      <c r="INF103" s="1"/>
      <c r="ING103" s="1"/>
      <c r="INH103" s="1"/>
      <c r="INI103" s="1"/>
      <c r="INJ103" s="1"/>
      <c r="INK103" s="1"/>
      <c r="INL103" s="1"/>
      <c r="INM103" s="1"/>
      <c r="INN103" s="1"/>
      <c r="INO103" s="1"/>
      <c r="INP103" s="1"/>
      <c r="INQ103" s="1"/>
      <c r="INR103" s="1"/>
      <c r="INS103" s="1"/>
      <c r="INT103" s="1"/>
      <c r="INU103" s="1"/>
      <c r="INV103" s="1"/>
      <c r="INW103" s="1"/>
      <c r="INX103" s="1"/>
      <c r="INY103" s="1"/>
      <c r="INZ103" s="1"/>
      <c r="IOA103" s="1"/>
      <c r="IOB103" s="1"/>
      <c r="IOC103" s="1"/>
      <c r="IOD103" s="1"/>
      <c r="IOE103" s="1"/>
      <c r="IOF103" s="1"/>
      <c r="IOG103" s="1"/>
      <c r="IOH103" s="1"/>
      <c r="IOI103" s="1"/>
      <c r="IOJ103" s="1"/>
      <c r="IOK103" s="1"/>
      <c r="IOL103" s="1"/>
      <c r="IOM103" s="1"/>
      <c r="ION103" s="1"/>
      <c r="IOO103" s="1"/>
      <c r="IOP103" s="1"/>
      <c r="IOQ103" s="1"/>
      <c r="IOR103" s="1"/>
      <c r="IOS103" s="1"/>
      <c r="IOT103" s="1"/>
      <c r="IOU103" s="1"/>
      <c r="IOV103" s="1"/>
      <c r="IOW103" s="1"/>
      <c r="IOX103" s="1"/>
      <c r="IOY103" s="1"/>
      <c r="IOZ103" s="1"/>
      <c r="IPA103" s="1"/>
      <c r="IPB103" s="1"/>
      <c r="IPC103" s="1"/>
      <c r="IPD103" s="1"/>
      <c r="IPE103" s="1"/>
      <c r="IPF103" s="1"/>
      <c r="IPG103" s="1"/>
      <c r="IPH103" s="1"/>
      <c r="IPI103" s="1"/>
      <c r="IPJ103" s="1"/>
      <c r="IPK103" s="1"/>
      <c r="IPL103" s="1"/>
      <c r="IPM103" s="1"/>
      <c r="IPN103" s="1"/>
      <c r="IPO103" s="1"/>
      <c r="IPP103" s="1"/>
      <c r="IPQ103" s="1"/>
      <c r="IPR103" s="1"/>
      <c r="IPS103" s="1"/>
      <c r="IPT103" s="1"/>
      <c r="IPU103" s="1"/>
      <c r="IPV103" s="1"/>
      <c r="IPW103" s="1"/>
      <c r="IPX103" s="1"/>
      <c r="IPY103" s="1"/>
      <c r="IPZ103" s="1"/>
      <c r="IQA103" s="1"/>
      <c r="IQB103" s="1"/>
      <c r="IQC103" s="1"/>
      <c r="IQD103" s="1"/>
      <c r="IQE103" s="1"/>
      <c r="IQF103" s="1"/>
      <c r="IQG103" s="1"/>
      <c r="IQH103" s="1"/>
      <c r="IQI103" s="1"/>
      <c r="IQJ103" s="1"/>
      <c r="IQK103" s="1"/>
      <c r="IQL103" s="1"/>
      <c r="IQM103" s="1"/>
      <c r="IQN103" s="1"/>
      <c r="IQO103" s="1"/>
      <c r="IQP103" s="1"/>
      <c r="IQQ103" s="1"/>
      <c r="IQR103" s="1"/>
      <c r="IQS103" s="1"/>
      <c r="IQT103" s="1"/>
      <c r="IQU103" s="1"/>
      <c r="IQV103" s="1"/>
      <c r="IQW103" s="1"/>
      <c r="IQX103" s="1"/>
      <c r="IQY103" s="1"/>
      <c r="IQZ103" s="1"/>
      <c r="IRA103" s="1"/>
      <c r="IRB103" s="1"/>
      <c r="IRC103" s="1"/>
      <c r="IRD103" s="1"/>
      <c r="IRE103" s="1"/>
      <c r="IRF103" s="1"/>
      <c r="IRG103" s="1"/>
      <c r="IRH103" s="1"/>
      <c r="IRI103" s="1"/>
      <c r="IRJ103" s="1"/>
      <c r="IRK103" s="1"/>
      <c r="IRL103" s="1"/>
      <c r="IRM103" s="1"/>
      <c r="IRN103" s="1"/>
      <c r="IRO103" s="1"/>
      <c r="IRP103" s="1"/>
      <c r="IRQ103" s="1"/>
      <c r="IRR103" s="1"/>
      <c r="IRS103" s="1"/>
      <c r="IRT103" s="1"/>
      <c r="IRU103" s="1"/>
      <c r="IRV103" s="1"/>
      <c r="IRW103" s="1"/>
      <c r="IRX103" s="1"/>
      <c r="IRY103" s="1"/>
      <c r="IRZ103" s="1"/>
      <c r="ISA103" s="1"/>
      <c r="ISB103" s="1"/>
      <c r="ISC103" s="1"/>
      <c r="ISD103" s="1"/>
      <c r="ISE103" s="1"/>
      <c r="ISF103" s="1"/>
      <c r="ISM103" s="1"/>
      <c r="ISN103" s="1"/>
      <c r="ISO103" s="1"/>
      <c r="ISP103" s="1"/>
      <c r="ISQ103" s="1"/>
      <c r="ISR103" s="1"/>
      <c r="ISS103" s="1"/>
      <c r="IST103" s="1"/>
      <c r="ISU103" s="1"/>
      <c r="ISV103" s="1"/>
      <c r="ISW103" s="1"/>
      <c r="ISX103" s="1"/>
      <c r="ISY103" s="1"/>
      <c r="ISZ103" s="1"/>
      <c r="ITA103" s="1"/>
      <c r="ITB103" s="1"/>
      <c r="ITC103" s="1"/>
      <c r="ITD103" s="1"/>
      <c r="ITE103" s="1"/>
      <c r="ITF103" s="1"/>
      <c r="ITG103" s="1"/>
      <c r="ITH103" s="1"/>
      <c r="ITI103" s="1"/>
      <c r="ITJ103" s="1"/>
      <c r="ITK103" s="1"/>
      <c r="ITL103" s="1"/>
      <c r="ITM103" s="1"/>
      <c r="ITN103" s="1"/>
      <c r="ITO103" s="1"/>
      <c r="ITP103" s="1"/>
      <c r="ITQ103" s="1"/>
      <c r="ITR103" s="1"/>
      <c r="ITS103" s="1"/>
      <c r="ITT103" s="1"/>
      <c r="ITU103" s="1"/>
      <c r="ITV103" s="1"/>
      <c r="ITW103" s="1"/>
      <c r="ITX103" s="1"/>
      <c r="ITY103" s="1"/>
      <c r="ITZ103" s="1"/>
      <c r="IUA103" s="1"/>
      <c r="IUB103" s="1"/>
      <c r="IUC103" s="1"/>
      <c r="IUD103" s="1"/>
      <c r="IUE103" s="1"/>
      <c r="IUF103" s="1"/>
      <c r="IUG103" s="1"/>
      <c r="IUH103" s="1"/>
      <c r="IUI103" s="1"/>
      <c r="IUJ103" s="1"/>
      <c r="IUK103" s="1"/>
      <c r="IUL103" s="1"/>
      <c r="IUM103" s="1"/>
      <c r="IUN103" s="1"/>
      <c r="IUO103" s="1"/>
      <c r="IUP103" s="1"/>
      <c r="IUQ103" s="1"/>
      <c r="IUR103" s="1"/>
      <c r="IUS103" s="1"/>
      <c r="IUT103" s="1"/>
      <c r="IUU103" s="1"/>
      <c r="IUV103" s="1"/>
      <c r="IUW103" s="1"/>
      <c r="IUX103" s="1"/>
      <c r="IUY103" s="1"/>
      <c r="IUZ103" s="1"/>
      <c r="IVA103" s="1"/>
      <c r="IVB103" s="1"/>
      <c r="IVC103" s="1"/>
      <c r="IVD103" s="1"/>
      <c r="IVE103" s="1"/>
      <c r="IVF103" s="1"/>
      <c r="IVG103" s="1"/>
      <c r="IVH103" s="1"/>
      <c r="IVI103" s="1"/>
      <c r="IVJ103" s="1"/>
      <c r="IVK103" s="1"/>
      <c r="IVL103" s="1"/>
      <c r="IVM103" s="1"/>
      <c r="IVN103" s="1"/>
      <c r="IVO103" s="1"/>
      <c r="IVP103" s="1"/>
      <c r="IVQ103" s="1"/>
      <c r="IVR103" s="1"/>
      <c r="IVS103" s="1"/>
      <c r="IVT103" s="1"/>
      <c r="IVU103" s="1"/>
      <c r="IVV103" s="1"/>
      <c r="IVW103" s="1"/>
      <c r="IVX103" s="1"/>
      <c r="IVY103" s="1"/>
      <c r="IVZ103" s="1"/>
      <c r="IWA103" s="1"/>
      <c r="IWB103" s="1"/>
      <c r="IWC103" s="1"/>
      <c r="IWD103" s="1"/>
      <c r="IWE103" s="1"/>
      <c r="IWF103" s="1"/>
      <c r="IWG103" s="1"/>
      <c r="IWH103" s="1"/>
      <c r="IWI103" s="1"/>
      <c r="IWJ103" s="1"/>
      <c r="IWK103" s="1"/>
      <c r="IWL103" s="1"/>
      <c r="IWM103" s="1"/>
      <c r="IWN103" s="1"/>
      <c r="IWO103" s="1"/>
      <c r="IWP103" s="1"/>
      <c r="IWQ103" s="1"/>
      <c r="IWR103" s="1"/>
      <c r="IWS103" s="1"/>
      <c r="IWT103" s="1"/>
      <c r="IWU103" s="1"/>
      <c r="IWV103" s="1"/>
      <c r="IWW103" s="1"/>
      <c r="IWX103" s="1"/>
      <c r="IWY103" s="1"/>
      <c r="IWZ103" s="1"/>
      <c r="IXA103" s="1"/>
      <c r="IXB103" s="1"/>
      <c r="IXC103" s="1"/>
      <c r="IXD103" s="1"/>
      <c r="IXE103" s="1"/>
      <c r="IXF103" s="1"/>
      <c r="IXG103" s="1"/>
      <c r="IXH103" s="1"/>
      <c r="IXI103" s="1"/>
      <c r="IXJ103" s="1"/>
      <c r="IXK103" s="1"/>
      <c r="IXL103" s="1"/>
      <c r="IXM103" s="1"/>
      <c r="IXN103" s="1"/>
      <c r="IXO103" s="1"/>
      <c r="IXP103" s="1"/>
      <c r="IXQ103" s="1"/>
      <c r="IXR103" s="1"/>
      <c r="IXS103" s="1"/>
      <c r="IXT103" s="1"/>
      <c r="IXU103" s="1"/>
      <c r="IXV103" s="1"/>
      <c r="IXW103" s="1"/>
      <c r="IXX103" s="1"/>
      <c r="IXY103" s="1"/>
      <c r="IXZ103" s="1"/>
      <c r="IYA103" s="1"/>
      <c r="IYB103" s="1"/>
      <c r="IYC103" s="1"/>
      <c r="IYD103" s="1"/>
      <c r="IYE103" s="1"/>
      <c r="IYF103" s="1"/>
      <c r="IYG103" s="1"/>
      <c r="IYH103" s="1"/>
      <c r="IYI103" s="1"/>
      <c r="IYJ103" s="1"/>
      <c r="IYK103" s="1"/>
      <c r="IYL103" s="1"/>
      <c r="IYM103" s="1"/>
      <c r="IYN103" s="1"/>
      <c r="IYO103" s="1"/>
      <c r="IYP103" s="1"/>
      <c r="IYQ103" s="1"/>
      <c r="IYR103" s="1"/>
      <c r="IYS103" s="1"/>
      <c r="IYT103" s="1"/>
      <c r="IYU103" s="1"/>
      <c r="IYV103" s="1"/>
      <c r="IYW103" s="1"/>
      <c r="IYX103" s="1"/>
      <c r="IYY103" s="1"/>
      <c r="IYZ103" s="1"/>
      <c r="IZA103" s="1"/>
      <c r="IZB103" s="1"/>
      <c r="IZC103" s="1"/>
      <c r="IZD103" s="1"/>
      <c r="IZE103" s="1"/>
      <c r="IZF103" s="1"/>
      <c r="IZG103" s="1"/>
      <c r="IZH103" s="1"/>
      <c r="IZI103" s="1"/>
      <c r="IZJ103" s="1"/>
      <c r="IZK103" s="1"/>
      <c r="IZL103" s="1"/>
      <c r="IZM103" s="1"/>
      <c r="IZN103" s="1"/>
      <c r="IZO103" s="1"/>
      <c r="IZP103" s="1"/>
      <c r="IZQ103" s="1"/>
      <c r="IZR103" s="1"/>
      <c r="IZS103" s="1"/>
      <c r="IZT103" s="1"/>
      <c r="IZU103" s="1"/>
      <c r="IZV103" s="1"/>
      <c r="IZW103" s="1"/>
      <c r="IZX103" s="1"/>
      <c r="IZY103" s="1"/>
      <c r="IZZ103" s="1"/>
      <c r="JAA103" s="1"/>
      <c r="JAB103" s="1"/>
      <c r="JAC103" s="1"/>
      <c r="JAD103" s="1"/>
      <c r="JAE103" s="1"/>
      <c r="JAF103" s="1"/>
      <c r="JAG103" s="1"/>
      <c r="JAH103" s="1"/>
      <c r="JAI103" s="1"/>
      <c r="JAJ103" s="1"/>
      <c r="JAK103" s="1"/>
      <c r="JAL103" s="1"/>
      <c r="JAM103" s="1"/>
      <c r="JAN103" s="1"/>
      <c r="JAO103" s="1"/>
      <c r="JAP103" s="1"/>
      <c r="JAQ103" s="1"/>
      <c r="JAR103" s="1"/>
      <c r="JAS103" s="1"/>
      <c r="JAT103" s="1"/>
      <c r="JAU103" s="1"/>
      <c r="JAV103" s="1"/>
      <c r="JAW103" s="1"/>
      <c r="JAX103" s="1"/>
      <c r="JAY103" s="1"/>
      <c r="JAZ103" s="1"/>
      <c r="JBA103" s="1"/>
      <c r="JBB103" s="1"/>
      <c r="JBC103" s="1"/>
      <c r="JBD103" s="1"/>
      <c r="JBE103" s="1"/>
      <c r="JBF103" s="1"/>
      <c r="JBG103" s="1"/>
      <c r="JBH103" s="1"/>
      <c r="JBI103" s="1"/>
      <c r="JBJ103" s="1"/>
      <c r="JBK103" s="1"/>
      <c r="JBL103" s="1"/>
      <c r="JBM103" s="1"/>
      <c r="JBN103" s="1"/>
      <c r="JBO103" s="1"/>
      <c r="JBP103" s="1"/>
      <c r="JBQ103" s="1"/>
      <c r="JBR103" s="1"/>
      <c r="JBS103" s="1"/>
      <c r="JBT103" s="1"/>
      <c r="JBU103" s="1"/>
      <c r="JBV103" s="1"/>
      <c r="JBW103" s="1"/>
      <c r="JBX103" s="1"/>
      <c r="JBY103" s="1"/>
      <c r="JBZ103" s="1"/>
      <c r="JCA103" s="1"/>
      <c r="JCB103" s="1"/>
      <c r="JCI103" s="1"/>
      <c r="JCJ103" s="1"/>
      <c r="JCK103" s="1"/>
      <c r="JCL103" s="1"/>
      <c r="JCM103" s="1"/>
      <c r="JCN103" s="1"/>
      <c r="JCO103" s="1"/>
      <c r="JCP103" s="1"/>
      <c r="JCQ103" s="1"/>
      <c r="JCR103" s="1"/>
      <c r="JCS103" s="1"/>
      <c r="JCT103" s="1"/>
      <c r="JCU103" s="1"/>
      <c r="JCV103" s="1"/>
      <c r="JCW103" s="1"/>
      <c r="JCX103" s="1"/>
      <c r="JCY103" s="1"/>
      <c r="JCZ103" s="1"/>
      <c r="JDA103" s="1"/>
      <c r="JDB103" s="1"/>
      <c r="JDC103" s="1"/>
      <c r="JDD103" s="1"/>
      <c r="JDE103" s="1"/>
      <c r="JDF103" s="1"/>
      <c r="JDG103" s="1"/>
      <c r="JDH103" s="1"/>
      <c r="JDI103" s="1"/>
      <c r="JDJ103" s="1"/>
      <c r="JDK103" s="1"/>
      <c r="JDL103" s="1"/>
      <c r="JDM103" s="1"/>
      <c r="JDN103" s="1"/>
      <c r="JDO103" s="1"/>
      <c r="JDP103" s="1"/>
      <c r="JDQ103" s="1"/>
      <c r="JDR103" s="1"/>
      <c r="JDS103" s="1"/>
      <c r="JDT103" s="1"/>
      <c r="JDU103" s="1"/>
      <c r="JDV103" s="1"/>
      <c r="JDW103" s="1"/>
      <c r="JDX103" s="1"/>
      <c r="JDY103" s="1"/>
      <c r="JDZ103" s="1"/>
      <c r="JEA103" s="1"/>
      <c r="JEB103" s="1"/>
      <c r="JEC103" s="1"/>
      <c r="JED103" s="1"/>
      <c r="JEE103" s="1"/>
      <c r="JEF103" s="1"/>
      <c r="JEG103" s="1"/>
      <c r="JEH103" s="1"/>
      <c r="JEI103" s="1"/>
      <c r="JEJ103" s="1"/>
      <c r="JEK103" s="1"/>
      <c r="JEL103" s="1"/>
      <c r="JEM103" s="1"/>
      <c r="JEN103" s="1"/>
      <c r="JEO103" s="1"/>
      <c r="JEP103" s="1"/>
      <c r="JEQ103" s="1"/>
      <c r="JER103" s="1"/>
      <c r="JES103" s="1"/>
      <c r="JET103" s="1"/>
      <c r="JEU103" s="1"/>
      <c r="JEV103" s="1"/>
      <c r="JEW103" s="1"/>
      <c r="JEX103" s="1"/>
      <c r="JEY103" s="1"/>
      <c r="JEZ103" s="1"/>
      <c r="JFA103" s="1"/>
      <c r="JFB103" s="1"/>
      <c r="JFC103" s="1"/>
      <c r="JFD103" s="1"/>
      <c r="JFE103" s="1"/>
      <c r="JFF103" s="1"/>
      <c r="JFG103" s="1"/>
      <c r="JFH103" s="1"/>
      <c r="JFI103" s="1"/>
      <c r="JFJ103" s="1"/>
      <c r="JFK103" s="1"/>
      <c r="JFL103" s="1"/>
      <c r="JFM103" s="1"/>
      <c r="JFN103" s="1"/>
      <c r="JFO103" s="1"/>
      <c r="JFP103" s="1"/>
      <c r="JFQ103" s="1"/>
      <c r="JFR103" s="1"/>
      <c r="JFS103" s="1"/>
      <c r="JFT103" s="1"/>
      <c r="JFU103" s="1"/>
      <c r="JFV103" s="1"/>
      <c r="JFW103" s="1"/>
      <c r="JFX103" s="1"/>
      <c r="JFY103" s="1"/>
      <c r="JFZ103" s="1"/>
      <c r="JGA103" s="1"/>
      <c r="JGB103" s="1"/>
      <c r="JGC103" s="1"/>
      <c r="JGD103" s="1"/>
      <c r="JGE103" s="1"/>
      <c r="JGF103" s="1"/>
      <c r="JGG103" s="1"/>
      <c r="JGH103" s="1"/>
      <c r="JGI103" s="1"/>
      <c r="JGJ103" s="1"/>
      <c r="JGK103" s="1"/>
      <c r="JGL103" s="1"/>
      <c r="JGM103" s="1"/>
      <c r="JGN103" s="1"/>
      <c r="JGO103" s="1"/>
      <c r="JGP103" s="1"/>
      <c r="JGQ103" s="1"/>
      <c r="JGR103" s="1"/>
      <c r="JGS103" s="1"/>
      <c r="JGT103" s="1"/>
      <c r="JGU103" s="1"/>
      <c r="JGV103" s="1"/>
      <c r="JGW103" s="1"/>
      <c r="JGX103" s="1"/>
      <c r="JGY103" s="1"/>
      <c r="JGZ103" s="1"/>
      <c r="JHA103" s="1"/>
      <c r="JHB103" s="1"/>
      <c r="JHC103" s="1"/>
      <c r="JHD103" s="1"/>
      <c r="JHE103" s="1"/>
      <c r="JHF103" s="1"/>
      <c r="JHG103" s="1"/>
      <c r="JHH103" s="1"/>
      <c r="JHI103" s="1"/>
      <c r="JHJ103" s="1"/>
      <c r="JHK103" s="1"/>
      <c r="JHL103" s="1"/>
      <c r="JHM103" s="1"/>
      <c r="JHN103" s="1"/>
      <c r="JHO103" s="1"/>
      <c r="JHP103" s="1"/>
      <c r="JHQ103" s="1"/>
      <c r="JHR103" s="1"/>
      <c r="JHS103" s="1"/>
      <c r="JHT103" s="1"/>
      <c r="JHU103" s="1"/>
      <c r="JHV103" s="1"/>
      <c r="JHW103" s="1"/>
      <c r="JHX103" s="1"/>
      <c r="JHY103" s="1"/>
      <c r="JHZ103" s="1"/>
      <c r="JIA103" s="1"/>
      <c r="JIB103" s="1"/>
      <c r="JIC103" s="1"/>
      <c r="JID103" s="1"/>
      <c r="JIE103" s="1"/>
      <c r="JIF103" s="1"/>
      <c r="JIG103" s="1"/>
      <c r="JIH103" s="1"/>
      <c r="JII103" s="1"/>
      <c r="JIJ103" s="1"/>
      <c r="JIK103" s="1"/>
      <c r="JIL103" s="1"/>
      <c r="JIM103" s="1"/>
      <c r="JIN103" s="1"/>
      <c r="JIO103" s="1"/>
      <c r="JIP103" s="1"/>
      <c r="JIQ103" s="1"/>
      <c r="JIR103" s="1"/>
      <c r="JIS103" s="1"/>
      <c r="JIT103" s="1"/>
      <c r="JIU103" s="1"/>
      <c r="JIV103" s="1"/>
      <c r="JIW103" s="1"/>
      <c r="JIX103" s="1"/>
      <c r="JIY103" s="1"/>
      <c r="JIZ103" s="1"/>
      <c r="JJA103" s="1"/>
      <c r="JJB103" s="1"/>
      <c r="JJC103" s="1"/>
      <c r="JJD103" s="1"/>
      <c r="JJE103" s="1"/>
      <c r="JJF103" s="1"/>
      <c r="JJG103" s="1"/>
      <c r="JJH103" s="1"/>
      <c r="JJI103" s="1"/>
      <c r="JJJ103" s="1"/>
      <c r="JJK103" s="1"/>
      <c r="JJL103" s="1"/>
      <c r="JJM103" s="1"/>
      <c r="JJN103" s="1"/>
      <c r="JJO103" s="1"/>
      <c r="JJP103" s="1"/>
      <c r="JJQ103" s="1"/>
      <c r="JJR103" s="1"/>
      <c r="JJS103" s="1"/>
      <c r="JJT103" s="1"/>
      <c r="JJU103" s="1"/>
      <c r="JJV103" s="1"/>
      <c r="JJW103" s="1"/>
      <c r="JJX103" s="1"/>
      <c r="JJY103" s="1"/>
      <c r="JJZ103" s="1"/>
      <c r="JKA103" s="1"/>
      <c r="JKB103" s="1"/>
      <c r="JKC103" s="1"/>
      <c r="JKD103" s="1"/>
      <c r="JKE103" s="1"/>
      <c r="JKF103" s="1"/>
      <c r="JKG103" s="1"/>
      <c r="JKH103" s="1"/>
      <c r="JKI103" s="1"/>
      <c r="JKJ103" s="1"/>
      <c r="JKK103" s="1"/>
      <c r="JKL103" s="1"/>
      <c r="JKM103" s="1"/>
      <c r="JKN103" s="1"/>
      <c r="JKO103" s="1"/>
      <c r="JKP103" s="1"/>
      <c r="JKQ103" s="1"/>
      <c r="JKR103" s="1"/>
      <c r="JKS103" s="1"/>
      <c r="JKT103" s="1"/>
      <c r="JKU103" s="1"/>
      <c r="JKV103" s="1"/>
      <c r="JKW103" s="1"/>
      <c r="JKX103" s="1"/>
      <c r="JKY103" s="1"/>
      <c r="JKZ103" s="1"/>
      <c r="JLA103" s="1"/>
      <c r="JLB103" s="1"/>
      <c r="JLC103" s="1"/>
      <c r="JLD103" s="1"/>
      <c r="JLE103" s="1"/>
      <c r="JLF103" s="1"/>
      <c r="JLG103" s="1"/>
      <c r="JLH103" s="1"/>
      <c r="JLI103" s="1"/>
      <c r="JLJ103" s="1"/>
      <c r="JLK103" s="1"/>
      <c r="JLL103" s="1"/>
      <c r="JLM103" s="1"/>
      <c r="JLN103" s="1"/>
      <c r="JLO103" s="1"/>
      <c r="JLP103" s="1"/>
      <c r="JLQ103" s="1"/>
      <c r="JLR103" s="1"/>
      <c r="JLS103" s="1"/>
      <c r="JLT103" s="1"/>
      <c r="JLU103" s="1"/>
      <c r="JLV103" s="1"/>
      <c r="JLW103" s="1"/>
      <c r="JLX103" s="1"/>
      <c r="JME103" s="1"/>
      <c r="JMF103" s="1"/>
      <c r="JMG103" s="1"/>
      <c r="JMH103" s="1"/>
      <c r="JMI103" s="1"/>
      <c r="JMJ103" s="1"/>
      <c r="JMK103" s="1"/>
      <c r="JML103" s="1"/>
      <c r="JMM103" s="1"/>
      <c r="JMN103" s="1"/>
      <c r="JMO103" s="1"/>
      <c r="JMP103" s="1"/>
      <c r="JMQ103" s="1"/>
      <c r="JMR103" s="1"/>
      <c r="JMS103" s="1"/>
      <c r="JMT103" s="1"/>
      <c r="JMU103" s="1"/>
      <c r="JMV103" s="1"/>
      <c r="JMW103" s="1"/>
      <c r="JMX103" s="1"/>
      <c r="JMY103" s="1"/>
      <c r="JMZ103" s="1"/>
      <c r="JNA103" s="1"/>
      <c r="JNB103" s="1"/>
      <c r="JNC103" s="1"/>
      <c r="JND103" s="1"/>
      <c r="JNE103" s="1"/>
      <c r="JNF103" s="1"/>
      <c r="JNG103" s="1"/>
      <c r="JNH103" s="1"/>
      <c r="JNI103" s="1"/>
      <c r="JNJ103" s="1"/>
      <c r="JNK103" s="1"/>
      <c r="JNL103" s="1"/>
      <c r="JNM103" s="1"/>
      <c r="JNN103" s="1"/>
      <c r="JNO103" s="1"/>
      <c r="JNP103" s="1"/>
      <c r="JNQ103" s="1"/>
      <c r="JNR103" s="1"/>
      <c r="JNS103" s="1"/>
      <c r="JNT103" s="1"/>
      <c r="JNU103" s="1"/>
      <c r="JNV103" s="1"/>
      <c r="JNW103" s="1"/>
      <c r="JNX103" s="1"/>
      <c r="JNY103" s="1"/>
      <c r="JNZ103" s="1"/>
      <c r="JOA103" s="1"/>
      <c r="JOB103" s="1"/>
      <c r="JOC103" s="1"/>
      <c r="JOD103" s="1"/>
      <c r="JOE103" s="1"/>
      <c r="JOF103" s="1"/>
      <c r="JOG103" s="1"/>
      <c r="JOH103" s="1"/>
      <c r="JOI103" s="1"/>
      <c r="JOJ103" s="1"/>
      <c r="JOK103" s="1"/>
      <c r="JOL103" s="1"/>
      <c r="JOM103" s="1"/>
      <c r="JON103" s="1"/>
      <c r="JOO103" s="1"/>
      <c r="JOP103" s="1"/>
      <c r="JOQ103" s="1"/>
      <c r="JOR103" s="1"/>
      <c r="JOS103" s="1"/>
      <c r="JOT103" s="1"/>
      <c r="JOU103" s="1"/>
      <c r="JOV103" s="1"/>
      <c r="JOW103" s="1"/>
      <c r="JOX103" s="1"/>
      <c r="JOY103" s="1"/>
      <c r="JOZ103" s="1"/>
      <c r="JPA103" s="1"/>
      <c r="JPB103" s="1"/>
      <c r="JPC103" s="1"/>
      <c r="JPD103" s="1"/>
      <c r="JPE103" s="1"/>
      <c r="JPF103" s="1"/>
      <c r="JPG103" s="1"/>
      <c r="JPH103" s="1"/>
      <c r="JPI103" s="1"/>
      <c r="JPJ103" s="1"/>
      <c r="JPK103" s="1"/>
      <c r="JPL103" s="1"/>
      <c r="JPM103" s="1"/>
      <c r="JPN103" s="1"/>
      <c r="JPO103" s="1"/>
      <c r="JPP103" s="1"/>
      <c r="JPQ103" s="1"/>
      <c r="JPR103" s="1"/>
      <c r="JPS103" s="1"/>
      <c r="JPT103" s="1"/>
      <c r="JPU103" s="1"/>
      <c r="JPV103" s="1"/>
      <c r="JPW103" s="1"/>
      <c r="JPX103" s="1"/>
      <c r="JPY103" s="1"/>
      <c r="JPZ103" s="1"/>
      <c r="JQA103" s="1"/>
      <c r="JQB103" s="1"/>
      <c r="JQC103" s="1"/>
      <c r="JQD103" s="1"/>
      <c r="JQE103" s="1"/>
      <c r="JQF103" s="1"/>
      <c r="JQG103" s="1"/>
      <c r="JQH103" s="1"/>
      <c r="JQI103" s="1"/>
      <c r="JQJ103" s="1"/>
      <c r="JQK103" s="1"/>
      <c r="JQL103" s="1"/>
      <c r="JQM103" s="1"/>
      <c r="JQN103" s="1"/>
      <c r="JQO103" s="1"/>
      <c r="JQP103" s="1"/>
      <c r="JQQ103" s="1"/>
      <c r="JQR103" s="1"/>
      <c r="JQS103" s="1"/>
      <c r="JQT103" s="1"/>
      <c r="JQU103" s="1"/>
      <c r="JQV103" s="1"/>
      <c r="JQW103" s="1"/>
      <c r="JQX103" s="1"/>
      <c r="JQY103" s="1"/>
      <c r="JQZ103" s="1"/>
      <c r="JRA103" s="1"/>
      <c r="JRB103" s="1"/>
      <c r="JRC103" s="1"/>
      <c r="JRD103" s="1"/>
      <c r="JRE103" s="1"/>
      <c r="JRF103" s="1"/>
      <c r="JRG103" s="1"/>
      <c r="JRH103" s="1"/>
      <c r="JRI103" s="1"/>
      <c r="JRJ103" s="1"/>
      <c r="JRK103" s="1"/>
      <c r="JRL103" s="1"/>
      <c r="JRM103" s="1"/>
      <c r="JRN103" s="1"/>
      <c r="JRO103" s="1"/>
      <c r="JRP103" s="1"/>
      <c r="JRQ103" s="1"/>
      <c r="JRR103" s="1"/>
      <c r="JRS103" s="1"/>
      <c r="JRT103" s="1"/>
      <c r="JRU103" s="1"/>
      <c r="JRV103" s="1"/>
      <c r="JRW103" s="1"/>
      <c r="JRX103" s="1"/>
      <c r="JRY103" s="1"/>
      <c r="JRZ103" s="1"/>
      <c r="JSA103" s="1"/>
      <c r="JSB103" s="1"/>
      <c r="JSC103" s="1"/>
      <c r="JSD103" s="1"/>
      <c r="JSE103" s="1"/>
      <c r="JSF103" s="1"/>
      <c r="JSG103" s="1"/>
      <c r="JSH103" s="1"/>
      <c r="JSI103" s="1"/>
      <c r="JSJ103" s="1"/>
      <c r="JSK103" s="1"/>
      <c r="JSL103" s="1"/>
      <c r="JSM103" s="1"/>
      <c r="JSN103" s="1"/>
      <c r="JSO103" s="1"/>
      <c r="JSP103" s="1"/>
      <c r="JSQ103" s="1"/>
      <c r="JSR103" s="1"/>
      <c r="JSS103" s="1"/>
      <c r="JST103" s="1"/>
      <c r="JSU103" s="1"/>
      <c r="JSV103" s="1"/>
      <c r="JSW103" s="1"/>
      <c r="JSX103" s="1"/>
      <c r="JSY103" s="1"/>
      <c r="JSZ103" s="1"/>
      <c r="JTA103" s="1"/>
      <c r="JTB103" s="1"/>
      <c r="JTC103" s="1"/>
      <c r="JTD103" s="1"/>
      <c r="JTE103" s="1"/>
      <c r="JTF103" s="1"/>
      <c r="JTG103" s="1"/>
      <c r="JTH103" s="1"/>
      <c r="JTI103" s="1"/>
      <c r="JTJ103" s="1"/>
      <c r="JTK103" s="1"/>
      <c r="JTL103" s="1"/>
      <c r="JTM103" s="1"/>
      <c r="JTN103" s="1"/>
      <c r="JTO103" s="1"/>
      <c r="JTP103" s="1"/>
      <c r="JTQ103" s="1"/>
      <c r="JTR103" s="1"/>
      <c r="JTS103" s="1"/>
      <c r="JTT103" s="1"/>
      <c r="JTU103" s="1"/>
      <c r="JTV103" s="1"/>
      <c r="JTW103" s="1"/>
      <c r="JTX103" s="1"/>
      <c r="JTY103" s="1"/>
      <c r="JTZ103" s="1"/>
      <c r="JUA103" s="1"/>
      <c r="JUB103" s="1"/>
      <c r="JUC103" s="1"/>
      <c r="JUD103" s="1"/>
      <c r="JUE103" s="1"/>
      <c r="JUF103" s="1"/>
      <c r="JUG103" s="1"/>
      <c r="JUH103" s="1"/>
      <c r="JUI103" s="1"/>
      <c r="JUJ103" s="1"/>
      <c r="JUK103" s="1"/>
      <c r="JUL103" s="1"/>
      <c r="JUM103" s="1"/>
      <c r="JUN103" s="1"/>
      <c r="JUO103" s="1"/>
      <c r="JUP103" s="1"/>
      <c r="JUQ103" s="1"/>
      <c r="JUR103" s="1"/>
      <c r="JUS103" s="1"/>
      <c r="JUT103" s="1"/>
      <c r="JUU103" s="1"/>
      <c r="JUV103" s="1"/>
      <c r="JUW103" s="1"/>
      <c r="JUX103" s="1"/>
      <c r="JUY103" s="1"/>
      <c r="JUZ103" s="1"/>
      <c r="JVA103" s="1"/>
      <c r="JVB103" s="1"/>
      <c r="JVC103" s="1"/>
      <c r="JVD103" s="1"/>
      <c r="JVE103" s="1"/>
      <c r="JVF103" s="1"/>
      <c r="JVG103" s="1"/>
      <c r="JVH103" s="1"/>
      <c r="JVI103" s="1"/>
      <c r="JVJ103" s="1"/>
      <c r="JVK103" s="1"/>
      <c r="JVL103" s="1"/>
      <c r="JVM103" s="1"/>
      <c r="JVN103" s="1"/>
      <c r="JVO103" s="1"/>
      <c r="JVP103" s="1"/>
      <c r="JVQ103" s="1"/>
      <c r="JVR103" s="1"/>
      <c r="JVS103" s="1"/>
      <c r="JVT103" s="1"/>
      <c r="JWA103" s="1"/>
      <c r="JWB103" s="1"/>
      <c r="JWC103" s="1"/>
      <c r="JWD103" s="1"/>
      <c r="JWE103" s="1"/>
      <c r="JWF103" s="1"/>
      <c r="JWG103" s="1"/>
      <c r="JWH103" s="1"/>
      <c r="JWI103" s="1"/>
      <c r="JWJ103" s="1"/>
      <c r="JWK103" s="1"/>
      <c r="JWL103" s="1"/>
      <c r="JWM103" s="1"/>
      <c r="JWN103" s="1"/>
      <c r="JWO103" s="1"/>
      <c r="JWP103" s="1"/>
      <c r="JWQ103" s="1"/>
      <c r="JWR103" s="1"/>
      <c r="JWS103" s="1"/>
      <c r="JWT103" s="1"/>
      <c r="JWU103" s="1"/>
      <c r="JWV103" s="1"/>
      <c r="JWW103" s="1"/>
      <c r="JWX103" s="1"/>
      <c r="JWY103" s="1"/>
      <c r="JWZ103" s="1"/>
      <c r="JXA103" s="1"/>
      <c r="JXB103" s="1"/>
      <c r="JXC103" s="1"/>
      <c r="JXD103" s="1"/>
      <c r="JXE103" s="1"/>
      <c r="JXF103" s="1"/>
      <c r="JXG103" s="1"/>
      <c r="JXH103" s="1"/>
      <c r="JXI103" s="1"/>
      <c r="JXJ103" s="1"/>
      <c r="JXK103" s="1"/>
      <c r="JXL103" s="1"/>
      <c r="JXM103" s="1"/>
      <c r="JXN103" s="1"/>
      <c r="JXO103" s="1"/>
      <c r="JXP103" s="1"/>
      <c r="JXQ103" s="1"/>
      <c r="JXR103" s="1"/>
      <c r="JXS103" s="1"/>
      <c r="JXT103" s="1"/>
      <c r="JXU103" s="1"/>
      <c r="JXV103" s="1"/>
      <c r="JXW103" s="1"/>
      <c r="JXX103" s="1"/>
      <c r="JXY103" s="1"/>
      <c r="JXZ103" s="1"/>
      <c r="JYA103" s="1"/>
      <c r="JYB103" s="1"/>
      <c r="JYC103" s="1"/>
      <c r="JYD103" s="1"/>
      <c r="JYE103" s="1"/>
      <c r="JYF103" s="1"/>
      <c r="JYG103" s="1"/>
      <c r="JYH103" s="1"/>
      <c r="JYI103" s="1"/>
      <c r="JYJ103" s="1"/>
      <c r="JYK103" s="1"/>
      <c r="JYL103" s="1"/>
      <c r="JYM103" s="1"/>
      <c r="JYN103" s="1"/>
      <c r="JYO103" s="1"/>
      <c r="JYP103" s="1"/>
      <c r="JYQ103" s="1"/>
      <c r="JYR103" s="1"/>
      <c r="JYS103" s="1"/>
      <c r="JYT103" s="1"/>
      <c r="JYU103" s="1"/>
      <c r="JYV103" s="1"/>
      <c r="JYW103" s="1"/>
      <c r="JYX103" s="1"/>
      <c r="JYY103" s="1"/>
      <c r="JYZ103" s="1"/>
      <c r="JZA103" s="1"/>
      <c r="JZB103" s="1"/>
      <c r="JZC103" s="1"/>
      <c r="JZD103" s="1"/>
      <c r="JZE103" s="1"/>
      <c r="JZF103" s="1"/>
      <c r="JZG103" s="1"/>
      <c r="JZH103" s="1"/>
      <c r="JZI103" s="1"/>
      <c r="JZJ103" s="1"/>
      <c r="JZK103" s="1"/>
      <c r="JZL103" s="1"/>
      <c r="JZM103" s="1"/>
      <c r="JZN103" s="1"/>
      <c r="JZO103" s="1"/>
      <c r="JZP103" s="1"/>
      <c r="JZQ103" s="1"/>
      <c r="JZR103" s="1"/>
      <c r="JZS103" s="1"/>
      <c r="JZT103" s="1"/>
      <c r="JZU103" s="1"/>
      <c r="JZV103" s="1"/>
      <c r="JZW103" s="1"/>
      <c r="JZX103" s="1"/>
      <c r="JZY103" s="1"/>
      <c r="JZZ103" s="1"/>
      <c r="KAA103" s="1"/>
      <c r="KAB103" s="1"/>
      <c r="KAC103" s="1"/>
      <c r="KAD103" s="1"/>
      <c r="KAE103" s="1"/>
      <c r="KAF103" s="1"/>
      <c r="KAG103" s="1"/>
      <c r="KAH103" s="1"/>
      <c r="KAI103" s="1"/>
      <c r="KAJ103" s="1"/>
      <c r="KAK103" s="1"/>
      <c r="KAL103" s="1"/>
      <c r="KAM103" s="1"/>
      <c r="KAN103" s="1"/>
      <c r="KAO103" s="1"/>
      <c r="KAP103" s="1"/>
      <c r="KAQ103" s="1"/>
      <c r="KAR103" s="1"/>
      <c r="KAS103" s="1"/>
      <c r="KAT103" s="1"/>
      <c r="KAU103" s="1"/>
      <c r="KAV103" s="1"/>
      <c r="KAW103" s="1"/>
      <c r="KAX103" s="1"/>
      <c r="KAY103" s="1"/>
      <c r="KAZ103" s="1"/>
      <c r="KBA103" s="1"/>
      <c r="KBB103" s="1"/>
      <c r="KBC103" s="1"/>
      <c r="KBD103" s="1"/>
      <c r="KBE103" s="1"/>
      <c r="KBF103" s="1"/>
      <c r="KBG103" s="1"/>
      <c r="KBH103" s="1"/>
      <c r="KBI103" s="1"/>
      <c r="KBJ103" s="1"/>
      <c r="KBK103" s="1"/>
      <c r="KBL103" s="1"/>
      <c r="KBM103" s="1"/>
      <c r="KBN103" s="1"/>
      <c r="KBO103" s="1"/>
      <c r="KBP103" s="1"/>
      <c r="KBQ103" s="1"/>
      <c r="KBR103" s="1"/>
      <c r="KBS103" s="1"/>
      <c r="KBT103" s="1"/>
      <c r="KBU103" s="1"/>
      <c r="KBV103" s="1"/>
      <c r="KBW103" s="1"/>
      <c r="KBX103" s="1"/>
      <c r="KBY103" s="1"/>
      <c r="KBZ103" s="1"/>
      <c r="KCA103" s="1"/>
      <c r="KCB103" s="1"/>
      <c r="KCC103" s="1"/>
      <c r="KCD103" s="1"/>
      <c r="KCE103" s="1"/>
      <c r="KCF103" s="1"/>
      <c r="KCG103" s="1"/>
      <c r="KCH103" s="1"/>
      <c r="KCI103" s="1"/>
      <c r="KCJ103" s="1"/>
      <c r="KCK103" s="1"/>
      <c r="KCL103" s="1"/>
      <c r="KCM103" s="1"/>
      <c r="KCN103" s="1"/>
      <c r="KCO103" s="1"/>
      <c r="KCP103" s="1"/>
      <c r="KCQ103" s="1"/>
      <c r="KCR103" s="1"/>
      <c r="KCS103" s="1"/>
      <c r="KCT103" s="1"/>
      <c r="KCU103" s="1"/>
      <c r="KCV103" s="1"/>
      <c r="KCW103" s="1"/>
      <c r="KCX103" s="1"/>
      <c r="KCY103" s="1"/>
      <c r="KCZ103" s="1"/>
      <c r="KDA103" s="1"/>
      <c r="KDB103" s="1"/>
      <c r="KDC103" s="1"/>
      <c r="KDD103" s="1"/>
      <c r="KDE103" s="1"/>
      <c r="KDF103" s="1"/>
      <c r="KDG103" s="1"/>
      <c r="KDH103" s="1"/>
      <c r="KDI103" s="1"/>
      <c r="KDJ103" s="1"/>
      <c r="KDK103" s="1"/>
      <c r="KDL103" s="1"/>
      <c r="KDM103" s="1"/>
      <c r="KDN103" s="1"/>
      <c r="KDO103" s="1"/>
      <c r="KDP103" s="1"/>
      <c r="KDQ103" s="1"/>
      <c r="KDR103" s="1"/>
      <c r="KDS103" s="1"/>
      <c r="KDT103" s="1"/>
      <c r="KDU103" s="1"/>
      <c r="KDV103" s="1"/>
      <c r="KDW103" s="1"/>
      <c r="KDX103" s="1"/>
      <c r="KDY103" s="1"/>
      <c r="KDZ103" s="1"/>
      <c r="KEA103" s="1"/>
      <c r="KEB103" s="1"/>
      <c r="KEC103" s="1"/>
      <c r="KED103" s="1"/>
      <c r="KEE103" s="1"/>
      <c r="KEF103" s="1"/>
      <c r="KEG103" s="1"/>
      <c r="KEH103" s="1"/>
      <c r="KEI103" s="1"/>
      <c r="KEJ103" s="1"/>
      <c r="KEK103" s="1"/>
      <c r="KEL103" s="1"/>
      <c r="KEM103" s="1"/>
      <c r="KEN103" s="1"/>
      <c r="KEO103" s="1"/>
      <c r="KEP103" s="1"/>
      <c r="KEQ103" s="1"/>
      <c r="KER103" s="1"/>
      <c r="KES103" s="1"/>
      <c r="KET103" s="1"/>
      <c r="KEU103" s="1"/>
      <c r="KEV103" s="1"/>
      <c r="KEW103" s="1"/>
      <c r="KEX103" s="1"/>
      <c r="KEY103" s="1"/>
      <c r="KEZ103" s="1"/>
      <c r="KFA103" s="1"/>
      <c r="KFB103" s="1"/>
      <c r="KFC103" s="1"/>
      <c r="KFD103" s="1"/>
      <c r="KFE103" s="1"/>
      <c r="KFF103" s="1"/>
      <c r="KFG103" s="1"/>
      <c r="KFH103" s="1"/>
      <c r="KFI103" s="1"/>
      <c r="KFJ103" s="1"/>
      <c r="KFK103" s="1"/>
      <c r="KFL103" s="1"/>
      <c r="KFM103" s="1"/>
      <c r="KFN103" s="1"/>
      <c r="KFO103" s="1"/>
      <c r="KFP103" s="1"/>
      <c r="KFW103" s="1"/>
      <c r="KFX103" s="1"/>
      <c r="KFY103" s="1"/>
      <c r="KFZ103" s="1"/>
      <c r="KGA103" s="1"/>
      <c r="KGB103" s="1"/>
      <c r="KGC103" s="1"/>
      <c r="KGD103" s="1"/>
      <c r="KGE103" s="1"/>
      <c r="KGF103" s="1"/>
      <c r="KGG103" s="1"/>
      <c r="KGH103" s="1"/>
      <c r="KGI103" s="1"/>
      <c r="KGJ103" s="1"/>
      <c r="KGK103" s="1"/>
      <c r="KGL103" s="1"/>
      <c r="KGM103" s="1"/>
      <c r="KGN103" s="1"/>
      <c r="KGO103" s="1"/>
      <c r="KGP103" s="1"/>
      <c r="KGQ103" s="1"/>
      <c r="KGR103" s="1"/>
      <c r="KGS103" s="1"/>
      <c r="KGT103" s="1"/>
      <c r="KGU103" s="1"/>
      <c r="KGV103" s="1"/>
      <c r="KGW103" s="1"/>
      <c r="KGX103" s="1"/>
      <c r="KGY103" s="1"/>
      <c r="KGZ103" s="1"/>
      <c r="KHA103" s="1"/>
      <c r="KHB103" s="1"/>
      <c r="KHC103" s="1"/>
      <c r="KHD103" s="1"/>
      <c r="KHE103" s="1"/>
      <c r="KHF103" s="1"/>
      <c r="KHG103" s="1"/>
      <c r="KHH103" s="1"/>
      <c r="KHI103" s="1"/>
      <c r="KHJ103" s="1"/>
      <c r="KHK103" s="1"/>
      <c r="KHL103" s="1"/>
      <c r="KHM103" s="1"/>
      <c r="KHN103" s="1"/>
      <c r="KHO103" s="1"/>
      <c r="KHP103" s="1"/>
      <c r="KHQ103" s="1"/>
      <c r="KHR103" s="1"/>
      <c r="KHS103" s="1"/>
      <c r="KHT103" s="1"/>
      <c r="KHU103" s="1"/>
      <c r="KHV103" s="1"/>
      <c r="KHW103" s="1"/>
      <c r="KHX103" s="1"/>
      <c r="KHY103" s="1"/>
      <c r="KHZ103" s="1"/>
      <c r="KIA103" s="1"/>
      <c r="KIB103" s="1"/>
      <c r="KIC103" s="1"/>
      <c r="KID103" s="1"/>
      <c r="KIE103" s="1"/>
      <c r="KIF103" s="1"/>
      <c r="KIG103" s="1"/>
      <c r="KIH103" s="1"/>
      <c r="KII103" s="1"/>
      <c r="KIJ103" s="1"/>
      <c r="KIK103" s="1"/>
      <c r="KIL103" s="1"/>
      <c r="KIM103" s="1"/>
      <c r="KIN103" s="1"/>
      <c r="KIO103" s="1"/>
      <c r="KIP103" s="1"/>
      <c r="KIQ103" s="1"/>
      <c r="KIR103" s="1"/>
      <c r="KIS103" s="1"/>
      <c r="KIT103" s="1"/>
      <c r="KIU103" s="1"/>
      <c r="KIV103" s="1"/>
      <c r="KIW103" s="1"/>
      <c r="KIX103" s="1"/>
      <c r="KIY103" s="1"/>
      <c r="KIZ103" s="1"/>
      <c r="KJA103" s="1"/>
      <c r="KJB103" s="1"/>
      <c r="KJC103" s="1"/>
      <c r="KJD103" s="1"/>
      <c r="KJE103" s="1"/>
      <c r="KJF103" s="1"/>
      <c r="KJG103" s="1"/>
      <c r="KJH103" s="1"/>
      <c r="KJI103" s="1"/>
      <c r="KJJ103" s="1"/>
      <c r="KJK103" s="1"/>
      <c r="KJL103" s="1"/>
      <c r="KJM103" s="1"/>
      <c r="KJN103" s="1"/>
      <c r="KJO103" s="1"/>
      <c r="KJP103" s="1"/>
      <c r="KJQ103" s="1"/>
      <c r="KJR103" s="1"/>
      <c r="KJS103" s="1"/>
      <c r="KJT103" s="1"/>
      <c r="KJU103" s="1"/>
      <c r="KJV103" s="1"/>
      <c r="KJW103" s="1"/>
      <c r="KJX103" s="1"/>
      <c r="KJY103" s="1"/>
      <c r="KJZ103" s="1"/>
      <c r="KKA103" s="1"/>
      <c r="KKB103" s="1"/>
      <c r="KKC103" s="1"/>
      <c r="KKD103" s="1"/>
      <c r="KKE103" s="1"/>
      <c r="KKF103" s="1"/>
      <c r="KKG103" s="1"/>
      <c r="KKH103" s="1"/>
      <c r="KKI103" s="1"/>
      <c r="KKJ103" s="1"/>
      <c r="KKK103" s="1"/>
      <c r="KKL103" s="1"/>
      <c r="KKM103" s="1"/>
      <c r="KKN103" s="1"/>
      <c r="KKO103" s="1"/>
      <c r="KKP103" s="1"/>
      <c r="KKQ103" s="1"/>
      <c r="KKR103" s="1"/>
      <c r="KKS103" s="1"/>
      <c r="KKT103" s="1"/>
      <c r="KKU103" s="1"/>
      <c r="KKV103" s="1"/>
      <c r="KKW103" s="1"/>
      <c r="KKX103" s="1"/>
      <c r="KKY103" s="1"/>
      <c r="KKZ103" s="1"/>
      <c r="KLA103" s="1"/>
      <c r="KLB103" s="1"/>
      <c r="KLC103" s="1"/>
      <c r="KLD103" s="1"/>
      <c r="KLE103" s="1"/>
      <c r="KLF103" s="1"/>
      <c r="KLG103" s="1"/>
      <c r="KLH103" s="1"/>
      <c r="KLI103" s="1"/>
      <c r="KLJ103" s="1"/>
      <c r="KLK103" s="1"/>
      <c r="KLL103" s="1"/>
      <c r="KLM103" s="1"/>
      <c r="KLN103" s="1"/>
      <c r="KLO103" s="1"/>
      <c r="KLP103" s="1"/>
      <c r="KLQ103" s="1"/>
      <c r="KLR103" s="1"/>
      <c r="KLS103" s="1"/>
      <c r="KLT103" s="1"/>
      <c r="KLU103" s="1"/>
      <c r="KLV103" s="1"/>
      <c r="KLW103" s="1"/>
      <c r="KLX103" s="1"/>
      <c r="KLY103" s="1"/>
      <c r="KLZ103" s="1"/>
      <c r="KMA103" s="1"/>
      <c r="KMB103" s="1"/>
      <c r="KMC103" s="1"/>
      <c r="KMD103" s="1"/>
      <c r="KME103" s="1"/>
      <c r="KMF103" s="1"/>
      <c r="KMG103" s="1"/>
      <c r="KMH103" s="1"/>
      <c r="KMI103" s="1"/>
      <c r="KMJ103" s="1"/>
      <c r="KMK103" s="1"/>
      <c r="KML103" s="1"/>
      <c r="KMM103" s="1"/>
      <c r="KMN103" s="1"/>
      <c r="KMO103" s="1"/>
      <c r="KMP103" s="1"/>
      <c r="KMQ103" s="1"/>
      <c r="KMR103" s="1"/>
      <c r="KMS103" s="1"/>
      <c r="KMT103" s="1"/>
      <c r="KMU103" s="1"/>
      <c r="KMV103" s="1"/>
      <c r="KMW103" s="1"/>
      <c r="KMX103" s="1"/>
      <c r="KMY103" s="1"/>
      <c r="KMZ103" s="1"/>
      <c r="KNA103" s="1"/>
      <c r="KNB103" s="1"/>
      <c r="KNC103" s="1"/>
      <c r="KND103" s="1"/>
      <c r="KNE103" s="1"/>
      <c r="KNF103" s="1"/>
      <c r="KNG103" s="1"/>
      <c r="KNH103" s="1"/>
      <c r="KNI103" s="1"/>
      <c r="KNJ103" s="1"/>
      <c r="KNK103" s="1"/>
      <c r="KNL103" s="1"/>
      <c r="KNM103" s="1"/>
      <c r="KNN103" s="1"/>
      <c r="KNO103" s="1"/>
      <c r="KNP103" s="1"/>
      <c r="KNQ103" s="1"/>
      <c r="KNR103" s="1"/>
      <c r="KNS103" s="1"/>
      <c r="KNT103" s="1"/>
      <c r="KNU103" s="1"/>
      <c r="KNV103" s="1"/>
      <c r="KNW103" s="1"/>
      <c r="KNX103" s="1"/>
      <c r="KNY103" s="1"/>
      <c r="KNZ103" s="1"/>
      <c r="KOA103" s="1"/>
      <c r="KOB103" s="1"/>
      <c r="KOC103" s="1"/>
      <c r="KOD103" s="1"/>
      <c r="KOE103" s="1"/>
      <c r="KOF103" s="1"/>
      <c r="KOG103" s="1"/>
      <c r="KOH103" s="1"/>
      <c r="KOI103" s="1"/>
      <c r="KOJ103" s="1"/>
      <c r="KOK103" s="1"/>
      <c r="KOL103" s="1"/>
      <c r="KOM103" s="1"/>
      <c r="KON103" s="1"/>
      <c r="KOO103" s="1"/>
      <c r="KOP103" s="1"/>
      <c r="KOQ103" s="1"/>
      <c r="KOR103" s="1"/>
      <c r="KOS103" s="1"/>
      <c r="KOT103" s="1"/>
      <c r="KOU103" s="1"/>
      <c r="KOV103" s="1"/>
      <c r="KOW103" s="1"/>
      <c r="KOX103" s="1"/>
      <c r="KOY103" s="1"/>
      <c r="KOZ103" s="1"/>
      <c r="KPA103" s="1"/>
      <c r="KPB103" s="1"/>
      <c r="KPC103" s="1"/>
      <c r="KPD103" s="1"/>
      <c r="KPE103" s="1"/>
      <c r="KPF103" s="1"/>
      <c r="KPG103" s="1"/>
      <c r="KPH103" s="1"/>
      <c r="KPI103" s="1"/>
      <c r="KPJ103" s="1"/>
      <c r="KPK103" s="1"/>
      <c r="KPL103" s="1"/>
      <c r="KPS103" s="1"/>
      <c r="KPT103" s="1"/>
      <c r="KPU103" s="1"/>
      <c r="KPV103" s="1"/>
      <c r="KPW103" s="1"/>
      <c r="KPX103" s="1"/>
      <c r="KPY103" s="1"/>
      <c r="KPZ103" s="1"/>
      <c r="KQA103" s="1"/>
      <c r="KQB103" s="1"/>
      <c r="KQC103" s="1"/>
      <c r="KQD103" s="1"/>
      <c r="KQE103" s="1"/>
      <c r="KQF103" s="1"/>
      <c r="KQG103" s="1"/>
      <c r="KQH103" s="1"/>
      <c r="KQI103" s="1"/>
      <c r="KQJ103" s="1"/>
      <c r="KQK103" s="1"/>
      <c r="KQL103" s="1"/>
      <c r="KQM103" s="1"/>
      <c r="KQN103" s="1"/>
      <c r="KQO103" s="1"/>
      <c r="KQP103" s="1"/>
      <c r="KQQ103" s="1"/>
      <c r="KQR103" s="1"/>
      <c r="KQS103" s="1"/>
      <c r="KQT103" s="1"/>
      <c r="KQU103" s="1"/>
      <c r="KQV103" s="1"/>
      <c r="KQW103" s="1"/>
      <c r="KQX103" s="1"/>
      <c r="KQY103" s="1"/>
      <c r="KQZ103" s="1"/>
      <c r="KRA103" s="1"/>
      <c r="KRB103" s="1"/>
      <c r="KRC103" s="1"/>
      <c r="KRD103" s="1"/>
      <c r="KRE103" s="1"/>
      <c r="KRF103" s="1"/>
      <c r="KRG103" s="1"/>
      <c r="KRH103" s="1"/>
      <c r="KRI103" s="1"/>
      <c r="KRJ103" s="1"/>
      <c r="KRK103" s="1"/>
      <c r="KRL103" s="1"/>
      <c r="KRM103" s="1"/>
      <c r="KRN103" s="1"/>
      <c r="KRO103" s="1"/>
      <c r="KRP103" s="1"/>
      <c r="KRQ103" s="1"/>
      <c r="KRR103" s="1"/>
      <c r="KRS103" s="1"/>
      <c r="KRT103" s="1"/>
      <c r="KRU103" s="1"/>
      <c r="KRV103" s="1"/>
      <c r="KRW103" s="1"/>
      <c r="KRX103" s="1"/>
      <c r="KRY103" s="1"/>
      <c r="KRZ103" s="1"/>
      <c r="KSA103" s="1"/>
      <c r="KSB103" s="1"/>
      <c r="KSC103" s="1"/>
      <c r="KSD103" s="1"/>
      <c r="KSE103" s="1"/>
      <c r="KSF103" s="1"/>
      <c r="KSG103" s="1"/>
      <c r="KSH103" s="1"/>
      <c r="KSI103" s="1"/>
      <c r="KSJ103" s="1"/>
      <c r="KSK103" s="1"/>
      <c r="KSL103" s="1"/>
      <c r="KSM103" s="1"/>
      <c r="KSN103" s="1"/>
      <c r="KSO103" s="1"/>
      <c r="KSP103" s="1"/>
      <c r="KSQ103" s="1"/>
      <c r="KSR103" s="1"/>
      <c r="KSS103" s="1"/>
      <c r="KST103" s="1"/>
      <c r="KSU103" s="1"/>
      <c r="KSV103" s="1"/>
      <c r="KSW103" s="1"/>
      <c r="KSX103" s="1"/>
      <c r="KSY103" s="1"/>
      <c r="KSZ103" s="1"/>
      <c r="KTA103" s="1"/>
      <c r="KTB103" s="1"/>
      <c r="KTC103" s="1"/>
      <c r="KTD103" s="1"/>
      <c r="KTE103" s="1"/>
      <c r="KTF103" s="1"/>
      <c r="KTG103" s="1"/>
      <c r="KTH103" s="1"/>
      <c r="KTI103" s="1"/>
      <c r="KTJ103" s="1"/>
      <c r="KTK103" s="1"/>
      <c r="KTL103" s="1"/>
      <c r="KTM103" s="1"/>
      <c r="KTN103" s="1"/>
      <c r="KTO103" s="1"/>
      <c r="KTP103" s="1"/>
      <c r="KTQ103" s="1"/>
      <c r="KTR103" s="1"/>
      <c r="KTS103" s="1"/>
      <c r="KTT103" s="1"/>
      <c r="KTU103" s="1"/>
      <c r="KTV103" s="1"/>
      <c r="KTW103" s="1"/>
      <c r="KTX103" s="1"/>
      <c r="KTY103" s="1"/>
      <c r="KTZ103" s="1"/>
      <c r="KUA103" s="1"/>
      <c r="KUB103" s="1"/>
      <c r="KUC103" s="1"/>
      <c r="KUD103" s="1"/>
      <c r="KUE103" s="1"/>
      <c r="KUF103" s="1"/>
      <c r="KUG103" s="1"/>
      <c r="KUH103" s="1"/>
      <c r="KUI103" s="1"/>
      <c r="KUJ103" s="1"/>
      <c r="KUK103" s="1"/>
      <c r="KUL103" s="1"/>
      <c r="KUM103" s="1"/>
      <c r="KUN103" s="1"/>
      <c r="KUO103" s="1"/>
      <c r="KUP103" s="1"/>
      <c r="KUQ103" s="1"/>
      <c r="KUR103" s="1"/>
      <c r="KUS103" s="1"/>
      <c r="KUT103" s="1"/>
      <c r="KUU103" s="1"/>
      <c r="KUV103" s="1"/>
      <c r="KUW103" s="1"/>
      <c r="KUX103" s="1"/>
      <c r="KUY103" s="1"/>
      <c r="KUZ103" s="1"/>
      <c r="KVA103" s="1"/>
      <c r="KVB103" s="1"/>
      <c r="KVC103" s="1"/>
      <c r="KVD103" s="1"/>
      <c r="KVE103" s="1"/>
      <c r="KVF103" s="1"/>
      <c r="KVG103" s="1"/>
      <c r="KVH103" s="1"/>
      <c r="KVI103" s="1"/>
      <c r="KVJ103" s="1"/>
      <c r="KVK103" s="1"/>
      <c r="KVL103" s="1"/>
      <c r="KVM103" s="1"/>
      <c r="KVN103" s="1"/>
      <c r="KVO103" s="1"/>
      <c r="KVP103" s="1"/>
      <c r="KVQ103" s="1"/>
      <c r="KVR103" s="1"/>
      <c r="KVS103" s="1"/>
      <c r="KVT103" s="1"/>
      <c r="KVU103" s="1"/>
      <c r="KVV103" s="1"/>
      <c r="KVW103" s="1"/>
      <c r="KVX103" s="1"/>
      <c r="KVY103" s="1"/>
      <c r="KVZ103" s="1"/>
      <c r="KWA103" s="1"/>
      <c r="KWB103" s="1"/>
      <c r="KWC103" s="1"/>
      <c r="KWD103" s="1"/>
      <c r="KWE103" s="1"/>
      <c r="KWF103" s="1"/>
      <c r="KWG103" s="1"/>
      <c r="KWH103" s="1"/>
      <c r="KWI103" s="1"/>
      <c r="KWJ103" s="1"/>
      <c r="KWK103" s="1"/>
      <c r="KWL103" s="1"/>
      <c r="KWM103" s="1"/>
      <c r="KWN103" s="1"/>
      <c r="KWO103" s="1"/>
      <c r="KWP103" s="1"/>
      <c r="KWQ103" s="1"/>
      <c r="KWR103" s="1"/>
      <c r="KWS103" s="1"/>
      <c r="KWT103" s="1"/>
      <c r="KWU103" s="1"/>
      <c r="KWV103" s="1"/>
      <c r="KWW103" s="1"/>
      <c r="KWX103" s="1"/>
      <c r="KWY103" s="1"/>
      <c r="KWZ103" s="1"/>
      <c r="KXA103" s="1"/>
      <c r="KXB103" s="1"/>
      <c r="KXC103" s="1"/>
      <c r="KXD103" s="1"/>
      <c r="KXE103" s="1"/>
      <c r="KXF103" s="1"/>
      <c r="KXG103" s="1"/>
      <c r="KXH103" s="1"/>
      <c r="KXI103" s="1"/>
      <c r="KXJ103" s="1"/>
      <c r="KXK103" s="1"/>
      <c r="KXL103" s="1"/>
      <c r="KXM103" s="1"/>
      <c r="KXN103" s="1"/>
      <c r="KXO103" s="1"/>
      <c r="KXP103" s="1"/>
      <c r="KXQ103" s="1"/>
      <c r="KXR103" s="1"/>
      <c r="KXS103" s="1"/>
      <c r="KXT103" s="1"/>
      <c r="KXU103" s="1"/>
      <c r="KXV103" s="1"/>
      <c r="KXW103" s="1"/>
      <c r="KXX103" s="1"/>
      <c r="KXY103" s="1"/>
      <c r="KXZ103" s="1"/>
      <c r="KYA103" s="1"/>
      <c r="KYB103" s="1"/>
      <c r="KYC103" s="1"/>
      <c r="KYD103" s="1"/>
      <c r="KYE103" s="1"/>
      <c r="KYF103" s="1"/>
      <c r="KYG103" s="1"/>
      <c r="KYH103" s="1"/>
      <c r="KYI103" s="1"/>
      <c r="KYJ103" s="1"/>
      <c r="KYK103" s="1"/>
      <c r="KYL103" s="1"/>
      <c r="KYM103" s="1"/>
      <c r="KYN103" s="1"/>
      <c r="KYO103" s="1"/>
      <c r="KYP103" s="1"/>
      <c r="KYQ103" s="1"/>
      <c r="KYR103" s="1"/>
      <c r="KYS103" s="1"/>
      <c r="KYT103" s="1"/>
      <c r="KYU103" s="1"/>
      <c r="KYV103" s="1"/>
      <c r="KYW103" s="1"/>
      <c r="KYX103" s="1"/>
      <c r="KYY103" s="1"/>
      <c r="KYZ103" s="1"/>
      <c r="KZA103" s="1"/>
      <c r="KZB103" s="1"/>
      <c r="KZC103" s="1"/>
      <c r="KZD103" s="1"/>
      <c r="KZE103" s="1"/>
      <c r="KZF103" s="1"/>
      <c r="KZG103" s="1"/>
      <c r="KZH103" s="1"/>
      <c r="KZO103" s="1"/>
      <c r="KZP103" s="1"/>
      <c r="KZQ103" s="1"/>
      <c r="KZR103" s="1"/>
      <c r="KZS103" s="1"/>
      <c r="KZT103" s="1"/>
      <c r="KZU103" s="1"/>
      <c r="KZV103" s="1"/>
      <c r="KZW103" s="1"/>
      <c r="KZX103" s="1"/>
      <c r="KZY103" s="1"/>
      <c r="KZZ103" s="1"/>
      <c r="LAA103" s="1"/>
      <c r="LAB103" s="1"/>
      <c r="LAC103" s="1"/>
      <c r="LAD103" s="1"/>
      <c r="LAE103" s="1"/>
      <c r="LAF103" s="1"/>
      <c r="LAG103" s="1"/>
      <c r="LAH103" s="1"/>
      <c r="LAI103" s="1"/>
      <c r="LAJ103" s="1"/>
      <c r="LAK103" s="1"/>
      <c r="LAL103" s="1"/>
      <c r="LAM103" s="1"/>
      <c r="LAN103" s="1"/>
      <c r="LAO103" s="1"/>
      <c r="LAP103" s="1"/>
      <c r="LAQ103" s="1"/>
      <c r="LAR103" s="1"/>
      <c r="LAS103" s="1"/>
      <c r="LAT103" s="1"/>
      <c r="LAU103" s="1"/>
      <c r="LAV103" s="1"/>
      <c r="LAW103" s="1"/>
      <c r="LAX103" s="1"/>
      <c r="LAY103" s="1"/>
      <c r="LAZ103" s="1"/>
      <c r="LBA103" s="1"/>
      <c r="LBB103" s="1"/>
      <c r="LBC103" s="1"/>
      <c r="LBD103" s="1"/>
      <c r="LBE103" s="1"/>
      <c r="LBF103" s="1"/>
      <c r="LBG103" s="1"/>
      <c r="LBH103" s="1"/>
      <c r="LBI103" s="1"/>
      <c r="LBJ103" s="1"/>
      <c r="LBK103" s="1"/>
      <c r="LBL103" s="1"/>
      <c r="LBM103" s="1"/>
      <c r="LBN103" s="1"/>
      <c r="LBO103" s="1"/>
      <c r="LBP103" s="1"/>
      <c r="LBQ103" s="1"/>
      <c r="LBR103" s="1"/>
      <c r="LBS103" s="1"/>
      <c r="LBT103" s="1"/>
      <c r="LBU103" s="1"/>
      <c r="LBV103" s="1"/>
      <c r="LBW103" s="1"/>
      <c r="LBX103" s="1"/>
      <c r="LBY103" s="1"/>
      <c r="LBZ103" s="1"/>
      <c r="LCA103" s="1"/>
      <c r="LCB103" s="1"/>
      <c r="LCC103" s="1"/>
      <c r="LCD103" s="1"/>
      <c r="LCE103" s="1"/>
      <c r="LCF103" s="1"/>
      <c r="LCG103" s="1"/>
      <c r="LCH103" s="1"/>
      <c r="LCI103" s="1"/>
      <c r="LCJ103" s="1"/>
      <c r="LCK103" s="1"/>
      <c r="LCL103" s="1"/>
      <c r="LCM103" s="1"/>
      <c r="LCN103" s="1"/>
      <c r="LCO103" s="1"/>
      <c r="LCP103" s="1"/>
      <c r="LCQ103" s="1"/>
      <c r="LCR103" s="1"/>
      <c r="LCS103" s="1"/>
      <c r="LCT103" s="1"/>
      <c r="LCU103" s="1"/>
      <c r="LCV103" s="1"/>
      <c r="LCW103" s="1"/>
      <c r="LCX103" s="1"/>
      <c r="LCY103" s="1"/>
      <c r="LCZ103" s="1"/>
      <c r="LDA103" s="1"/>
      <c r="LDB103" s="1"/>
      <c r="LDC103" s="1"/>
      <c r="LDD103" s="1"/>
      <c r="LDE103" s="1"/>
      <c r="LDF103" s="1"/>
      <c r="LDG103" s="1"/>
      <c r="LDH103" s="1"/>
      <c r="LDI103" s="1"/>
      <c r="LDJ103" s="1"/>
      <c r="LDK103" s="1"/>
      <c r="LDL103" s="1"/>
      <c r="LDM103" s="1"/>
      <c r="LDN103" s="1"/>
      <c r="LDO103" s="1"/>
      <c r="LDP103" s="1"/>
      <c r="LDQ103" s="1"/>
      <c r="LDR103" s="1"/>
      <c r="LDS103" s="1"/>
      <c r="LDT103" s="1"/>
      <c r="LDU103" s="1"/>
      <c r="LDV103" s="1"/>
      <c r="LDW103" s="1"/>
      <c r="LDX103" s="1"/>
      <c r="LDY103" s="1"/>
      <c r="LDZ103" s="1"/>
      <c r="LEA103" s="1"/>
      <c r="LEB103" s="1"/>
      <c r="LEC103" s="1"/>
      <c r="LED103" s="1"/>
      <c r="LEE103" s="1"/>
      <c r="LEF103" s="1"/>
      <c r="LEG103" s="1"/>
      <c r="LEH103" s="1"/>
      <c r="LEI103" s="1"/>
      <c r="LEJ103" s="1"/>
      <c r="LEK103" s="1"/>
      <c r="LEL103" s="1"/>
      <c r="LEM103" s="1"/>
      <c r="LEN103" s="1"/>
      <c r="LEO103" s="1"/>
      <c r="LEP103" s="1"/>
      <c r="LEQ103" s="1"/>
      <c r="LER103" s="1"/>
      <c r="LES103" s="1"/>
      <c r="LET103" s="1"/>
      <c r="LEU103" s="1"/>
      <c r="LEV103" s="1"/>
      <c r="LEW103" s="1"/>
      <c r="LEX103" s="1"/>
      <c r="LEY103" s="1"/>
      <c r="LEZ103" s="1"/>
      <c r="LFA103" s="1"/>
      <c r="LFB103" s="1"/>
      <c r="LFC103" s="1"/>
      <c r="LFD103" s="1"/>
      <c r="LFE103" s="1"/>
      <c r="LFF103" s="1"/>
      <c r="LFG103" s="1"/>
      <c r="LFH103" s="1"/>
      <c r="LFI103" s="1"/>
      <c r="LFJ103" s="1"/>
      <c r="LFK103" s="1"/>
      <c r="LFL103" s="1"/>
      <c r="LFM103" s="1"/>
      <c r="LFN103" s="1"/>
      <c r="LFO103" s="1"/>
      <c r="LFP103" s="1"/>
      <c r="LFQ103" s="1"/>
      <c r="LFR103" s="1"/>
      <c r="LFS103" s="1"/>
      <c r="LFT103" s="1"/>
      <c r="LFU103" s="1"/>
      <c r="LFV103" s="1"/>
      <c r="LFW103" s="1"/>
      <c r="LFX103" s="1"/>
      <c r="LFY103" s="1"/>
      <c r="LFZ103" s="1"/>
      <c r="LGA103" s="1"/>
      <c r="LGB103" s="1"/>
      <c r="LGC103" s="1"/>
      <c r="LGD103" s="1"/>
      <c r="LGE103" s="1"/>
      <c r="LGF103" s="1"/>
      <c r="LGG103" s="1"/>
      <c r="LGH103" s="1"/>
      <c r="LGI103" s="1"/>
      <c r="LGJ103" s="1"/>
      <c r="LGK103" s="1"/>
      <c r="LGL103" s="1"/>
      <c r="LGM103" s="1"/>
      <c r="LGN103" s="1"/>
      <c r="LGO103" s="1"/>
      <c r="LGP103" s="1"/>
      <c r="LGQ103" s="1"/>
      <c r="LGR103" s="1"/>
      <c r="LGS103" s="1"/>
      <c r="LGT103" s="1"/>
      <c r="LGU103" s="1"/>
      <c r="LGV103" s="1"/>
      <c r="LGW103" s="1"/>
      <c r="LGX103" s="1"/>
      <c r="LGY103" s="1"/>
      <c r="LGZ103" s="1"/>
      <c r="LHA103" s="1"/>
      <c r="LHB103" s="1"/>
      <c r="LHC103" s="1"/>
      <c r="LHD103" s="1"/>
      <c r="LHE103" s="1"/>
      <c r="LHF103" s="1"/>
      <c r="LHG103" s="1"/>
      <c r="LHH103" s="1"/>
      <c r="LHI103" s="1"/>
      <c r="LHJ103" s="1"/>
      <c r="LHK103" s="1"/>
      <c r="LHL103" s="1"/>
      <c r="LHM103" s="1"/>
      <c r="LHN103" s="1"/>
      <c r="LHO103" s="1"/>
      <c r="LHP103" s="1"/>
      <c r="LHQ103" s="1"/>
      <c r="LHR103" s="1"/>
      <c r="LHS103" s="1"/>
      <c r="LHT103" s="1"/>
      <c r="LHU103" s="1"/>
      <c r="LHV103" s="1"/>
      <c r="LHW103" s="1"/>
      <c r="LHX103" s="1"/>
      <c r="LHY103" s="1"/>
      <c r="LHZ103" s="1"/>
      <c r="LIA103" s="1"/>
      <c r="LIB103" s="1"/>
      <c r="LIC103" s="1"/>
      <c r="LID103" s="1"/>
      <c r="LIE103" s="1"/>
      <c r="LIF103" s="1"/>
      <c r="LIG103" s="1"/>
      <c r="LIH103" s="1"/>
      <c r="LII103" s="1"/>
      <c r="LIJ103" s="1"/>
      <c r="LIK103" s="1"/>
      <c r="LIL103" s="1"/>
      <c r="LIM103" s="1"/>
      <c r="LIN103" s="1"/>
      <c r="LIO103" s="1"/>
      <c r="LIP103" s="1"/>
      <c r="LIQ103" s="1"/>
      <c r="LIR103" s="1"/>
      <c r="LIS103" s="1"/>
      <c r="LIT103" s="1"/>
      <c r="LIU103" s="1"/>
      <c r="LIV103" s="1"/>
      <c r="LIW103" s="1"/>
      <c r="LIX103" s="1"/>
      <c r="LIY103" s="1"/>
      <c r="LIZ103" s="1"/>
      <c r="LJA103" s="1"/>
      <c r="LJB103" s="1"/>
      <c r="LJC103" s="1"/>
      <c r="LJD103" s="1"/>
      <c r="LJK103" s="1"/>
      <c r="LJL103" s="1"/>
      <c r="LJM103" s="1"/>
      <c r="LJN103" s="1"/>
      <c r="LJO103" s="1"/>
      <c r="LJP103" s="1"/>
      <c r="LJQ103" s="1"/>
      <c r="LJR103" s="1"/>
      <c r="LJS103" s="1"/>
      <c r="LJT103" s="1"/>
      <c r="LJU103" s="1"/>
      <c r="LJV103" s="1"/>
      <c r="LJW103" s="1"/>
      <c r="LJX103" s="1"/>
      <c r="LJY103" s="1"/>
      <c r="LJZ103" s="1"/>
      <c r="LKA103" s="1"/>
      <c r="LKB103" s="1"/>
      <c r="LKC103" s="1"/>
      <c r="LKD103" s="1"/>
      <c r="LKE103" s="1"/>
      <c r="LKF103" s="1"/>
      <c r="LKG103" s="1"/>
      <c r="LKH103" s="1"/>
      <c r="LKI103" s="1"/>
      <c r="LKJ103" s="1"/>
      <c r="LKK103" s="1"/>
      <c r="LKL103" s="1"/>
      <c r="LKM103" s="1"/>
      <c r="LKN103" s="1"/>
      <c r="LKO103" s="1"/>
      <c r="LKP103" s="1"/>
      <c r="LKQ103" s="1"/>
      <c r="LKR103" s="1"/>
      <c r="LKS103" s="1"/>
      <c r="LKT103" s="1"/>
      <c r="LKU103" s="1"/>
      <c r="LKV103" s="1"/>
      <c r="LKW103" s="1"/>
      <c r="LKX103" s="1"/>
      <c r="LKY103" s="1"/>
      <c r="LKZ103" s="1"/>
      <c r="LLA103" s="1"/>
      <c r="LLB103" s="1"/>
      <c r="LLC103" s="1"/>
      <c r="LLD103" s="1"/>
      <c r="LLE103" s="1"/>
      <c r="LLF103" s="1"/>
      <c r="LLG103" s="1"/>
      <c r="LLH103" s="1"/>
      <c r="LLI103" s="1"/>
      <c r="LLJ103" s="1"/>
      <c r="LLK103" s="1"/>
      <c r="LLL103" s="1"/>
      <c r="LLM103" s="1"/>
      <c r="LLN103" s="1"/>
      <c r="LLO103" s="1"/>
      <c r="LLP103" s="1"/>
      <c r="LLQ103" s="1"/>
      <c r="LLR103" s="1"/>
      <c r="LLS103" s="1"/>
      <c r="LLT103" s="1"/>
      <c r="LLU103" s="1"/>
      <c r="LLV103" s="1"/>
      <c r="LLW103" s="1"/>
      <c r="LLX103" s="1"/>
      <c r="LLY103" s="1"/>
      <c r="LLZ103" s="1"/>
      <c r="LMA103" s="1"/>
      <c r="LMB103" s="1"/>
      <c r="LMC103" s="1"/>
      <c r="LMD103" s="1"/>
      <c r="LME103" s="1"/>
      <c r="LMF103" s="1"/>
      <c r="LMG103" s="1"/>
      <c r="LMH103" s="1"/>
      <c r="LMI103" s="1"/>
      <c r="LMJ103" s="1"/>
      <c r="LMK103" s="1"/>
      <c r="LML103" s="1"/>
      <c r="LMM103" s="1"/>
      <c r="LMN103" s="1"/>
      <c r="LMO103" s="1"/>
      <c r="LMP103" s="1"/>
      <c r="LMQ103" s="1"/>
      <c r="LMR103" s="1"/>
      <c r="LMS103" s="1"/>
      <c r="LMT103" s="1"/>
      <c r="LMU103" s="1"/>
      <c r="LMV103" s="1"/>
      <c r="LMW103" s="1"/>
      <c r="LMX103" s="1"/>
      <c r="LMY103" s="1"/>
      <c r="LMZ103" s="1"/>
      <c r="LNA103" s="1"/>
      <c r="LNB103" s="1"/>
      <c r="LNC103" s="1"/>
      <c r="LND103" s="1"/>
      <c r="LNE103" s="1"/>
      <c r="LNF103" s="1"/>
      <c r="LNG103" s="1"/>
      <c r="LNH103" s="1"/>
      <c r="LNI103" s="1"/>
      <c r="LNJ103" s="1"/>
      <c r="LNK103" s="1"/>
      <c r="LNL103" s="1"/>
      <c r="LNM103" s="1"/>
      <c r="LNN103" s="1"/>
      <c r="LNO103" s="1"/>
      <c r="LNP103" s="1"/>
      <c r="LNQ103" s="1"/>
      <c r="LNR103" s="1"/>
      <c r="LNS103" s="1"/>
      <c r="LNT103" s="1"/>
      <c r="LNU103" s="1"/>
      <c r="LNV103" s="1"/>
      <c r="LNW103" s="1"/>
      <c r="LNX103" s="1"/>
      <c r="LNY103" s="1"/>
      <c r="LNZ103" s="1"/>
      <c r="LOA103" s="1"/>
      <c r="LOB103" s="1"/>
      <c r="LOC103" s="1"/>
      <c r="LOD103" s="1"/>
      <c r="LOE103" s="1"/>
      <c r="LOF103" s="1"/>
      <c r="LOG103" s="1"/>
      <c r="LOH103" s="1"/>
      <c r="LOI103" s="1"/>
      <c r="LOJ103" s="1"/>
      <c r="LOK103" s="1"/>
      <c r="LOL103" s="1"/>
      <c r="LOM103" s="1"/>
      <c r="LON103" s="1"/>
      <c r="LOO103" s="1"/>
      <c r="LOP103" s="1"/>
      <c r="LOQ103" s="1"/>
      <c r="LOR103" s="1"/>
      <c r="LOS103" s="1"/>
      <c r="LOT103" s="1"/>
      <c r="LOU103" s="1"/>
      <c r="LOV103" s="1"/>
      <c r="LOW103" s="1"/>
      <c r="LOX103" s="1"/>
      <c r="LOY103" s="1"/>
      <c r="LOZ103" s="1"/>
      <c r="LPA103" s="1"/>
      <c r="LPB103" s="1"/>
      <c r="LPC103" s="1"/>
      <c r="LPD103" s="1"/>
      <c r="LPE103" s="1"/>
      <c r="LPF103" s="1"/>
      <c r="LPG103" s="1"/>
      <c r="LPH103" s="1"/>
      <c r="LPI103" s="1"/>
      <c r="LPJ103" s="1"/>
      <c r="LPK103" s="1"/>
      <c r="LPL103" s="1"/>
      <c r="LPM103" s="1"/>
      <c r="LPN103" s="1"/>
      <c r="LPO103" s="1"/>
      <c r="LPP103" s="1"/>
      <c r="LPQ103" s="1"/>
      <c r="LPR103" s="1"/>
      <c r="LPS103" s="1"/>
      <c r="LPT103" s="1"/>
      <c r="LPU103" s="1"/>
      <c r="LPV103" s="1"/>
      <c r="LPW103" s="1"/>
      <c r="LPX103" s="1"/>
      <c r="LPY103" s="1"/>
      <c r="LPZ103" s="1"/>
      <c r="LQA103" s="1"/>
      <c r="LQB103" s="1"/>
      <c r="LQC103" s="1"/>
      <c r="LQD103" s="1"/>
      <c r="LQE103" s="1"/>
      <c r="LQF103" s="1"/>
      <c r="LQG103" s="1"/>
      <c r="LQH103" s="1"/>
      <c r="LQI103" s="1"/>
      <c r="LQJ103" s="1"/>
      <c r="LQK103" s="1"/>
      <c r="LQL103" s="1"/>
      <c r="LQM103" s="1"/>
      <c r="LQN103" s="1"/>
      <c r="LQO103" s="1"/>
      <c r="LQP103" s="1"/>
      <c r="LQQ103" s="1"/>
      <c r="LQR103" s="1"/>
      <c r="LQS103" s="1"/>
      <c r="LQT103" s="1"/>
      <c r="LQU103" s="1"/>
      <c r="LQV103" s="1"/>
      <c r="LQW103" s="1"/>
      <c r="LQX103" s="1"/>
      <c r="LQY103" s="1"/>
      <c r="LQZ103" s="1"/>
      <c r="LRA103" s="1"/>
      <c r="LRB103" s="1"/>
      <c r="LRC103" s="1"/>
      <c r="LRD103" s="1"/>
      <c r="LRE103" s="1"/>
      <c r="LRF103" s="1"/>
      <c r="LRG103" s="1"/>
      <c r="LRH103" s="1"/>
      <c r="LRI103" s="1"/>
      <c r="LRJ103" s="1"/>
      <c r="LRK103" s="1"/>
      <c r="LRL103" s="1"/>
      <c r="LRM103" s="1"/>
      <c r="LRN103" s="1"/>
      <c r="LRO103" s="1"/>
      <c r="LRP103" s="1"/>
      <c r="LRQ103" s="1"/>
      <c r="LRR103" s="1"/>
      <c r="LRS103" s="1"/>
      <c r="LRT103" s="1"/>
      <c r="LRU103" s="1"/>
      <c r="LRV103" s="1"/>
      <c r="LRW103" s="1"/>
      <c r="LRX103" s="1"/>
      <c r="LRY103" s="1"/>
      <c r="LRZ103" s="1"/>
      <c r="LSA103" s="1"/>
      <c r="LSB103" s="1"/>
      <c r="LSC103" s="1"/>
      <c r="LSD103" s="1"/>
      <c r="LSE103" s="1"/>
      <c r="LSF103" s="1"/>
      <c r="LSG103" s="1"/>
      <c r="LSH103" s="1"/>
      <c r="LSI103" s="1"/>
      <c r="LSJ103" s="1"/>
      <c r="LSK103" s="1"/>
      <c r="LSL103" s="1"/>
      <c r="LSM103" s="1"/>
      <c r="LSN103" s="1"/>
      <c r="LSO103" s="1"/>
      <c r="LSP103" s="1"/>
      <c r="LSQ103" s="1"/>
      <c r="LSR103" s="1"/>
      <c r="LSS103" s="1"/>
      <c r="LST103" s="1"/>
      <c r="LSU103" s="1"/>
      <c r="LSV103" s="1"/>
      <c r="LSW103" s="1"/>
      <c r="LSX103" s="1"/>
      <c r="LSY103" s="1"/>
      <c r="LSZ103" s="1"/>
      <c r="LTG103" s="1"/>
      <c r="LTH103" s="1"/>
      <c r="LTI103" s="1"/>
      <c r="LTJ103" s="1"/>
      <c r="LTK103" s="1"/>
      <c r="LTL103" s="1"/>
      <c r="LTM103" s="1"/>
      <c r="LTN103" s="1"/>
      <c r="LTO103" s="1"/>
      <c r="LTP103" s="1"/>
      <c r="LTQ103" s="1"/>
      <c r="LTR103" s="1"/>
      <c r="LTS103" s="1"/>
      <c r="LTT103" s="1"/>
      <c r="LTU103" s="1"/>
      <c r="LTV103" s="1"/>
      <c r="LTW103" s="1"/>
      <c r="LTX103" s="1"/>
      <c r="LTY103" s="1"/>
      <c r="LTZ103" s="1"/>
      <c r="LUA103" s="1"/>
      <c r="LUB103" s="1"/>
      <c r="LUC103" s="1"/>
      <c r="LUD103" s="1"/>
      <c r="LUE103" s="1"/>
      <c r="LUF103" s="1"/>
      <c r="LUG103" s="1"/>
      <c r="LUH103" s="1"/>
      <c r="LUI103" s="1"/>
      <c r="LUJ103" s="1"/>
      <c r="LUK103" s="1"/>
      <c r="LUL103" s="1"/>
      <c r="LUM103" s="1"/>
      <c r="LUN103" s="1"/>
      <c r="LUO103" s="1"/>
      <c r="LUP103" s="1"/>
      <c r="LUQ103" s="1"/>
      <c r="LUR103" s="1"/>
      <c r="LUS103" s="1"/>
      <c r="LUT103" s="1"/>
      <c r="LUU103" s="1"/>
      <c r="LUV103" s="1"/>
      <c r="LUW103" s="1"/>
      <c r="LUX103" s="1"/>
      <c r="LUY103" s="1"/>
      <c r="LUZ103" s="1"/>
      <c r="LVA103" s="1"/>
      <c r="LVB103" s="1"/>
      <c r="LVC103" s="1"/>
      <c r="LVD103" s="1"/>
      <c r="LVE103" s="1"/>
      <c r="LVF103" s="1"/>
      <c r="LVG103" s="1"/>
      <c r="LVH103" s="1"/>
      <c r="LVI103" s="1"/>
      <c r="LVJ103" s="1"/>
      <c r="LVK103" s="1"/>
      <c r="LVL103" s="1"/>
      <c r="LVM103" s="1"/>
      <c r="LVN103" s="1"/>
      <c r="LVO103" s="1"/>
      <c r="LVP103" s="1"/>
      <c r="LVQ103" s="1"/>
      <c r="LVR103" s="1"/>
      <c r="LVS103" s="1"/>
      <c r="LVT103" s="1"/>
      <c r="LVU103" s="1"/>
      <c r="LVV103" s="1"/>
      <c r="LVW103" s="1"/>
      <c r="LVX103" s="1"/>
      <c r="LVY103" s="1"/>
      <c r="LVZ103" s="1"/>
      <c r="LWA103" s="1"/>
      <c r="LWB103" s="1"/>
      <c r="LWC103" s="1"/>
      <c r="LWD103" s="1"/>
      <c r="LWE103" s="1"/>
      <c r="LWF103" s="1"/>
      <c r="LWG103" s="1"/>
      <c r="LWH103" s="1"/>
      <c r="LWI103" s="1"/>
      <c r="LWJ103" s="1"/>
      <c r="LWK103" s="1"/>
      <c r="LWL103" s="1"/>
      <c r="LWM103" s="1"/>
      <c r="LWN103" s="1"/>
      <c r="LWO103" s="1"/>
      <c r="LWP103" s="1"/>
      <c r="LWQ103" s="1"/>
      <c r="LWR103" s="1"/>
      <c r="LWS103" s="1"/>
      <c r="LWT103" s="1"/>
      <c r="LWU103" s="1"/>
      <c r="LWV103" s="1"/>
      <c r="LWW103" s="1"/>
      <c r="LWX103" s="1"/>
      <c r="LWY103" s="1"/>
      <c r="LWZ103" s="1"/>
      <c r="LXA103" s="1"/>
      <c r="LXB103" s="1"/>
      <c r="LXC103" s="1"/>
      <c r="LXD103" s="1"/>
      <c r="LXE103" s="1"/>
      <c r="LXF103" s="1"/>
      <c r="LXG103" s="1"/>
      <c r="LXH103" s="1"/>
      <c r="LXI103" s="1"/>
      <c r="LXJ103" s="1"/>
      <c r="LXK103" s="1"/>
      <c r="LXL103" s="1"/>
      <c r="LXM103" s="1"/>
      <c r="LXN103" s="1"/>
      <c r="LXO103" s="1"/>
      <c r="LXP103" s="1"/>
      <c r="LXQ103" s="1"/>
      <c r="LXR103" s="1"/>
      <c r="LXS103" s="1"/>
      <c r="LXT103" s="1"/>
      <c r="LXU103" s="1"/>
      <c r="LXV103" s="1"/>
      <c r="LXW103" s="1"/>
      <c r="LXX103" s="1"/>
      <c r="LXY103" s="1"/>
      <c r="LXZ103" s="1"/>
      <c r="LYA103" s="1"/>
      <c r="LYB103" s="1"/>
      <c r="LYC103" s="1"/>
      <c r="LYD103" s="1"/>
      <c r="LYE103" s="1"/>
      <c r="LYF103" s="1"/>
      <c r="LYG103" s="1"/>
      <c r="LYH103" s="1"/>
      <c r="LYI103" s="1"/>
      <c r="LYJ103" s="1"/>
      <c r="LYK103" s="1"/>
      <c r="LYL103" s="1"/>
      <c r="LYM103" s="1"/>
      <c r="LYN103" s="1"/>
      <c r="LYO103" s="1"/>
      <c r="LYP103" s="1"/>
      <c r="LYQ103" s="1"/>
      <c r="LYR103" s="1"/>
      <c r="LYS103" s="1"/>
      <c r="LYT103" s="1"/>
      <c r="LYU103" s="1"/>
      <c r="LYV103" s="1"/>
      <c r="LYW103" s="1"/>
      <c r="LYX103" s="1"/>
      <c r="LYY103" s="1"/>
      <c r="LYZ103" s="1"/>
      <c r="LZA103" s="1"/>
      <c r="LZB103" s="1"/>
      <c r="LZC103" s="1"/>
      <c r="LZD103" s="1"/>
      <c r="LZE103" s="1"/>
      <c r="LZF103" s="1"/>
      <c r="LZG103" s="1"/>
      <c r="LZH103" s="1"/>
      <c r="LZI103" s="1"/>
      <c r="LZJ103" s="1"/>
      <c r="LZK103" s="1"/>
      <c r="LZL103" s="1"/>
      <c r="LZM103" s="1"/>
      <c r="LZN103" s="1"/>
      <c r="LZO103" s="1"/>
      <c r="LZP103" s="1"/>
      <c r="LZQ103" s="1"/>
      <c r="LZR103" s="1"/>
      <c r="LZS103" s="1"/>
      <c r="LZT103" s="1"/>
      <c r="LZU103" s="1"/>
      <c r="LZV103" s="1"/>
      <c r="LZW103" s="1"/>
      <c r="LZX103" s="1"/>
      <c r="LZY103" s="1"/>
      <c r="LZZ103" s="1"/>
      <c r="MAA103" s="1"/>
      <c r="MAB103" s="1"/>
      <c r="MAC103" s="1"/>
      <c r="MAD103" s="1"/>
      <c r="MAE103" s="1"/>
      <c r="MAF103" s="1"/>
      <c r="MAG103" s="1"/>
      <c r="MAH103" s="1"/>
      <c r="MAI103" s="1"/>
      <c r="MAJ103" s="1"/>
      <c r="MAK103" s="1"/>
      <c r="MAL103" s="1"/>
      <c r="MAM103" s="1"/>
      <c r="MAN103" s="1"/>
      <c r="MAO103" s="1"/>
      <c r="MAP103" s="1"/>
      <c r="MAQ103" s="1"/>
      <c r="MAR103" s="1"/>
      <c r="MAS103" s="1"/>
      <c r="MAT103" s="1"/>
      <c r="MAU103" s="1"/>
      <c r="MAV103" s="1"/>
      <c r="MAW103" s="1"/>
      <c r="MAX103" s="1"/>
      <c r="MAY103" s="1"/>
      <c r="MAZ103" s="1"/>
      <c r="MBA103" s="1"/>
      <c r="MBB103" s="1"/>
      <c r="MBC103" s="1"/>
      <c r="MBD103" s="1"/>
      <c r="MBE103" s="1"/>
      <c r="MBF103" s="1"/>
      <c r="MBG103" s="1"/>
      <c r="MBH103" s="1"/>
      <c r="MBI103" s="1"/>
      <c r="MBJ103" s="1"/>
      <c r="MBK103" s="1"/>
      <c r="MBL103" s="1"/>
      <c r="MBM103" s="1"/>
      <c r="MBN103" s="1"/>
      <c r="MBO103" s="1"/>
      <c r="MBP103" s="1"/>
      <c r="MBQ103" s="1"/>
      <c r="MBR103" s="1"/>
      <c r="MBS103" s="1"/>
      <c r="MBT103" s="1"/>
      <c r="MBU103" s="1"/>
      <c r="MBV103" s="1"/>
      <c r="MBW103" s="1"/>
      <c r="MBX103" s="1"/>
      <c r="MBY103" s="1"/>
      <c r="MBZ103" s="1"/>
      <c r="MCA103" s="1"/>
      <c r="MCB103" s="1"/>
      <c r="MCC103" s="1"/>
      <c r="MCD103" s="1"/>
      <c r="MCE103" s="1"/>
      <c r="MCF103" s="1"/>
      <c r="MCG103" s="1"/>
      <c r="MCH103" s="1"/>
      <c r="MCI103" s="1"/>
      <c r="MCJ103" s="1"/>
      <c r="MCK103" s="1"/>
      <c r="MCL103" s="1"/>
      <c r="MCM103" s="1"/>
      <c r="MCN103" s="1"/>
      <c r="MCO103" s="1"/>
      <c r="MCP103" s="1"/>
      <c r="MCQ103" s="1"/>
      <c r="MCR103" s="1"/>
      <c r="MCS103" s="1"/>
      <c r="MCT103" s="1"/>
      <c r="MCU103" s="1"/>
      <c r="MCV103" s="1"/>
      <c r="MDC103" s="1"/>
      <c r="MDD103" s="1"/>
      <c r="MDE103" s="1"/>
      <c r="MDF103" s="1"/>
      <c r="MDG103" s="1"/>
      <c r="MDH103" s="1"/>
      <c r="MDI103" s="1"/>
      <c r="MDJ103" s="1"/>
      <c r="MDK103" s="1"/>
      <c r="MDL103" s="1"/>
      <c r="MDM103" s="1"/>
      <c r="MDN103" s="1"/>
      <c r="MDO103" s="1"/>
      <c r="MDP103" s="1"/>
      <c r="MDQ103" s="1"/>
      <c r="MDR103" s="1"/>
      <c r="MDS103" s="1"/>
      <c r="MDT103" s="1"/>
      <c r="MDU103" s="1"/>
      <c r="MDV103" s="1"/>
      <c r="MDW103" s="1"/>
      <c r="MDX103" s="1"/>
      <c r="MDY103" s="1"/>
      <c r="MDZ103" s="1"/>
      <c r="MEA103" s="1"/>
      <c r="MEB103" s="1"/>
      <c r="MEC103" s="1"/>
      <c r="MED103" s="1"/>
      <c r="MEE103" s="1"/>
      <c r="MEF103" s="1"/>
      <c r="MEG103" s="1"/>
      <c r="MEH103" s="1"/>
      <c r="MEI103" s="1"/>
      <c r="MEJ103" s="1"/>
      <c r="MEK103" s="1"/>
      <c r="MEL103" s="1"/>
      <c r="MEM103" s="1"/>
      <c r="MEN103" s="1"/>
      <c r="MEO103" s="1"/>
      <c r="MEP103" s="1"/>
      <c r="MEQ103" s="1"/>
      <c r="MER103" s="1"/>
      <c r="MES103" s="1"/>
      <c r="MET103" s="1"/>
      <c r="MEU103" s="1"/>
      <c r="MEV103" s="1"/>
      <c r="MEW103" s="1"/>
      <c r="MEX103" s="1"/>
      <c r="MEY103" s="1"/>
      <c r="MEZ103" s="1"/>
      <c r="MFA103" s="1"/>
      <c r="MFB103" s="1"/>
      <c r="MFC103" s="1"/>
      <c r="MFD103" s="1"/>
      <c r="MFE103" s="1"/>
      <c r="MFF103" s="1"/>
      <c r="MFG103" s="1"/>
      <c r="MFH103" s="1"/>
      <c r="MFI103" s="1"/>
      <c r="MFJ103" s="1"/>
      <c r="MFK103" s="1"/>
      <c r="MFL103" s="1"/>
      <c r="MFM103" s="1"/>
      <c r="MFN103" s="1"/>
      <c r="MFO103" s="1"/>
      <c r="MFP103" s="1"/>
      <c r="MFQ103" s="1"/>
      <c r="MFR103" s="1"/>
      <c r="MFS103" s="1"/>
      <c r="MFT103" s="1"/>
      <c r="MFU103" s="1"/>
      <c r="MFV103" s="1"/>
      <c r="MFW103" s="1"/>
      <c r="MFX103" s="1"/>
      <c r="MFY103" s="1"/>
      <c r="MFZ103" s="1"/>
      <c r="MGA103" s="1"/>
      <c r="MGB103" s="1"/>
      <c r="MGC103" s="1"/>
      <c r="MGD103" s="1"/>
      <c r="MGE103" s="1"/>
      <c r="MGF103" s="1"/>
      <c r="MGG103" s="1"/>
      <c r="MGH103" s="1"/>
      <c r="MGI103" s="1"/>
      <c r="MGJ103" s="1"/>
      <c r="MGK103" s="1"/>
      <c r="MGL103" s="1"/>
      <c r="MGM103" s="1"/>
      <c r="MGN103" s="1"/>
      <c r="MGO103" s="1"/>
      <c r="MGP103" s="1"/>
      <c r="MGQ103" s="1"/>
      <c r="MGR103" s="1"/>
      <c r="MGS103" s="1"/>
      <c r="MGT103" s="1"/>
      <c r="MGU103" s="1"/>
      <c r="MGV103" s="1"/>
      <c r="MGW103" s="1"/>
      <c r="MGX103" s="1"/>
      <c r="MGY103" s="1"/>
      <c r="MGZ103" s="1"/>
      <c r="MHA103" s="1"/>
      <c r="MHB103" s="1"/>
      <c r="MHC103" s="1"/>
      <c r="MHD103" s="1"/>
      <c r="MHE103" s="1"/>
      <c r="MHF103" s="1"/>
      <c r="MHG103" s="1"/>
      <c r="MHH103" s="1"/>
      <c r="MHI103" s="1"/>
      <c r="MHJ103" s="1"/>
      <c r="MHK103" s="1"/>
      <c r="MHL103" s="1"/>
      <c r="MHM103" s="1"/>
      <c r="MHN103" s="1"/>
      <c r="MHO103" s="1"/>
      <c r="MHP103" s="1"/>
      <c r="MHQ103" s="1"/>
      <c r="MHR103" s="1"/>
      <c r="MHS103" s="1"/>
      <c r="MHT103" s="1"/>
      <c r="MHU103" s="1"/>
      <c r="MHV103" s="1"/>
      <c r="MHW103" s="1"/>
      <c r="MHX103" s="1"/>
      <c r="MHY103" s="1"/>
      <c r="MHZ103" s="1"/>
      <c r="MIA103" s="1"/>
      <c r="MIB103" s="1"/>
      <c r="MIC103" s="1"/>
      <c r="MID103" s="1"/>
      <c r="MIE103" s="1"/>
      <c r="MIF103" s="1"/>
      <c r="MIG103" s="1"/>
      <c r="MIH103" s="1"/>
      <c r="MII103" s="1"/>
      <c r="MIJ103" s="1"/>
      <c r="MIK103" s="1"/>
      <c r="MIL103" s="1"/>
      <c r="MIM103" s="1"/>
      <c r="MIN103" s="1"/>
      <c r="MIO103" s="1"/>
      <c r="MIP103" s="1"/>
      <c r="MIQ103" s="1"/>
      <c r="MIR103" s="1"/>
      <c r="MIS103" s="1"/>
      <c r="MIT103" s="1"/>
      <c r="MIU103" s="1"/>
      <c r="MIV103" s="1"/>
      <c r="MIW103" s="1"/>
      <c r="MIX103" s="1"/>
      <c r="MIY103" s="1"/>
      <c r="MIZ103" s="1"/>
      <c r="MJA103" s="1"/>
      <c r="MJB103" s="1"/>
      <c r="MJC103" s="1"/>
      <c r="MJD103" s="1"/>
      <c r="MJE103" s="1"/>
      <c r="MJF103" s="1"/>
      <c r="MJG103" s="1"/>
      <c r="MJH103" s="1"/>
      <c r="MJI103" s="1"/>
      <c r="MJJ103" s="1"/>
      <c r="MJK103" s="1"/>
      <c r="MJL103" s="1"/>
      <c r="MJM103" s="1"/>
      <c r="MJN103" s="1"/>
      <c r="MJO103" s="1"/>
      <c r="MJP103" s="1"/>
      <c r="MJQ103" s="1"/>
      <c r="MJR103" s="1"/>
      <c r="MJS103" s="1"/>
      <c r="MJT103" s="1"/>
      <c r="MJU103" s="1"/>
      <c r="MJV103" s="1"/>
      <c r="MJW103" s="1"/>
      <c r="MJX103" s="1"/>
      <c r="MJY103" s="1"/>
      <c r="MJZ103" s="1"/>
      <c r="MKA103" s="1"/>
      <c r="MKB103" s="1"/>
      <c r="MKC103" s="1"/>
      <c r="MKD103" s="1"/>
      <c r="MKE103" s="1"/>
      <c r="MKF103" s="1"/>
      <c r="MKG103" s="1"/>
      <c r="MKH103" s="1"/>
      <c r="MKI103" s="1"/>
      <c r="MKJ103" s="1"/>
      <c r="MKK103" s="1"/>
      <c r="MKL103" s="1"/>
      <c r="MKM103" s="1"/>
      <c r="MKN103" s="1"/>
      <c r="MKO103" s="1"/>
      <c r="MKP103" s="1"/>
      <c r="MKQ103" s="1"/>
      <c r="MKR103" s="1"/>
      <c r="MKS103" s="1"/>
      <c r="MKT103" s="1"/>
      <c r="MKU103" s="1"/>
      <c r="MKV103" s="1"/>
      <c r="MKW103" s="1"/>
      <c r="MKX103" s="1"/>
      <c r="MKY103" s="1"/>
      <c r="MKZ103" s="1"/>
      <c r="MLA103" s="1"/>
      <c r="MLB103" s="1"/>
      <c r="MLC103" s="1"/>
      <c r="MLD103" s="1"/>
      <c r="MLE103" s="1"/>
      <c r="MLF103" s="1"/>
      <c r="MLG103" s="1"/>
      <c r="MLH103" s="1"/>
      <c r="MLI103" s="1"/>
      <c r="MLJ103" s="1"/>
      <c r="MLK103" s="1"/>
      <c r="MLL103" s="1"/>
      <c r="MLM103" s="1"/>
      <c r="MLN103" s="1"/>
      <c r="MLO103" s="1"/>
      <c r="MLP103" s="1"/>
      <c r="MLQ103" s="1"/>
      <c r="MLR103" s="1"/>
      <c r="MLS103" s="1"/>
      <c r="MLT103" s="1"/>
      <c r="MLU103" s="1"/>
      <c r="MLV103" s="1"/>
      <c r="MLW103" s="1"/>
      <c r="MLX103" s="1"/>
      <c r="MLY103" s="1"/>
      <c r="MLZ103" s="1"/>
      <c r="MMA103" s="1"/>
      <c r="MMB103" s="1"/>
      <c r="MMC103" s="1"/>
      <c r="MMD103" s="1"/>
      <c r="MME103" s="1"/>
      <c r="MMF103" s="1"/>
      <c r="MMG103" s="1"/>
      <c r="MMH103" s="1"/>
      <c r="MMI103" s="1"/>
      <c r="MMJ103" s="1"/>
      <c r="MMK103" s="1"/>
      <c r="MML103" s="1"/>
      <c r="MMM103" s="1"/>
      <c r="MMN103" s="1"/>
      <c r="MMO103" s="1"/>
      <c r="MMP103" s="1"/>
      <c r="MMQ103" s="1"/>
      <c r="MMR103" s="1"/>
      <c r="MMY103" s="1"/>
      <c r="MMZ103" s="1"/>
      <c r="MNA103" s="1"/>
      <c r="MNB103" s="1"/>
      <c r="MNC103" s="1"/>
      <c r="MND103" s="1"/>
      <c r="MNE103" s="1"/>
      <c r="MNF103" s="1"/>
      <c r="MNG103" s="1"/>
      <c r="MNH103" s="1"/>
      <c r="MNI103" s="1"/>
      <c r="MNJ103" s="1"/>
      <c r="MNK103" s="1"/>
      <c r="MNL103" s="1"/>
      <c r="MNM103" s="1"/>
      <c r="MNN103" s="1"/>
      <c r="MNO103" s="1"/>
      <c r="MNP103" s="1"/>
      <c r="MNQ103" s="1"/>
      <c r="MNR103" s="1"/>
      <c r="MNS103" s="1"/>
      <c r="MNT103" s="1"/>
      <c r="MNU103" s="1"/>
      <c r="MNV103" s="1"/>
      <c r="MNW103" s="1"/>
      <c r="MNX103" s="1"/>
      <c r="MNY103" s="1"/>
      <c r="MNZ103" s="1"/>
      <c r="MOA103" s="1"/>
      <c r="MOB103" s="1"/>
      <c r="MOC103" s="1"/>
      <c r="MOD103" s="1"/>
      <c r="MOE103" s="1"/>
      <c r="MOF103" s="1"/>
      <c r="MOG103" s="1"/>
      <c r="MOH103" s="1"/>
      <c r="MOI103" s="1"/>
      <c r="MOJ103" s="1"/>
      <c r="MOK103" s="1"/>
      <c r="MOL103" s="1"/>
      <c r="MOM103" s="1"/>
      <c r="MON103" s="1"/>
      <c r="MOO103" s="1"/>
      <c r="MOP103" s="1"/>
      <c r="MOQ103" s="1"/>
      <c r="MOR103" s="1"/>
      <c r="MOS103" s="1"/>
      <c r="MOT103" s="1"/>
      <c r="MOU103" s="1"/>
      <c r="MOV103" s="1"/>
      <c r="MOW103" s="1"/>
      <c r="MOX103" s="1"/>
      <c r="MOY103" s="1"/>
      <c r="MOZ103" s="1"/>
      <c r="MPA103" s="1"/>
      <c r="MPB103" s="1"/>
      <c r="MPC103" s="1"/>
      <c r="MPD103" s="1"/>
      <c r="MPE103" s="1"/>
      <c r="MPF103" s="1"/>
      <c r="MPG103" s="1"/>
      <c r="MPH103" s="1"/>
      <c r="MPI103" s="1"/>
      <c r="MPJ103" s="1"/>
      <c r="MPK103" s="1"/>
      <c r="MPL103" s="1"/>
      <c r="MPM103" s="1"/>
      <c r="MPN103" s="1"/>
      <c r="MPO103" s="1"/>
      <c r="MPP103" s="1"/>
      <c r="MPQ103" s="1"/>
      <c r="MPR103" s="1"/>
      <c r="MPS103" s="1"/>
      <c r="MPT103" s="1"/>
      <c r="MPU103" s="1"/>
      <c r="MPV103" s="1"/>
      <c r="MPW103" s="1"/>
      <c r="MPX103" s="1"/>
      <c r="MPY103" s="1"/>
      <c r="MPZ103" s="1"/>
      <c r="MQA103" s="1"/>
      <c r="MQB103" s="1"/>
      <c r="MQC103" s="1"/>
      <c r="MQD103" s="1"/>
      <c r="MQE103" s="1"/>
      <c r="MQF103" s="1"/>
      <c r="MQG103" s="1"/>
      <c r="MQH103" s="1"/>
      <c r="MQI103" s="1"/>
      <c r="MQJ103" s="1"/>
      <c r="MQK103" s="1"/>
      <c r="MQL103" s="1"/>
      <c r="MQM103" s="1"/>
      <c r="MQN103" s="1"/>
      <c r="MQO103" s="1"/>
      <c r="MQP103" s="1"/>
      <c r="MQQ103" s="1"/>
      <c r="MQR103" s="1"/>
      <c r="MQS103" s="1"/>
      <c r="MQT103" s="1"/>
      <c r="MQU103" s="1"/>
      <c r="MQV103" s="1"/>
      <c r="MQW103" s="1"/>
      <c r="MQX103" s="1"/>
      <c r="MQY103" s="1"/>
      <c r="MQZ103" s="1"/>
      <c r="MRA103" s="1"/>
      <c r="MRB103" s="1"/>
      <c r="MRC103" s="1"/>
      <c r="MRD103" s="1"/>
      <c r="MRE103" s="1"/>
      <c r="MRF103" s="1"/>
      <c r="MRG103" s="1"/>
      <c r="MRH103" s="1"/>
      <c r="MRI103" s="1"/>
      <c r="MRJ103" s="1"/>
      <c r="MRK103" s="1"/>
      <c r="MRL103" s="1"/>
      <c r="MRM103" s="1"/>
      <c r="MRN103" s="1"/>
      <c r="MRO103" s="1"/>
      <c r="MRP103" s="1"/>
      <c r="MRQ103" s="1"/>
      <c r="MRR103" s="1"/>
      <c r="MRS103" s="1"/>
      <c r="MRT103" s="1"/>
      <c r="MRU103" s="1"/>
      <c r="MRV103" s="1"/>
      <c r="MRW103" s="1"/>
      <c r="MRX103" s="1"/>
      <c r="MRY103" s="1"/>
      <c r="MRZ103" s="1"/>
      <c r="MSA103" s="1"/>
      <c r="MSB103" s="1"/>
      <c r="MSC103" s="1"/>
      <c r="MSD103" s="1"/>
      <c r="MSE103" s="1"/>
      <c r="MSF103" s="1"/>
      <c r="MSG103" s="1"/>
      <c r="MSH103" s="1"/>
      <c r="MSI103" s="1"/>
      <c r="MSJ103" s="1"/>
      <c r="MSK103" s="1"/>
      <c r="MSL103" s="1"/>
      <c r="MSM103" s="1"/>
      <c r="MSN103" s="1"/>
      <c r="MSO103" s="1"/>
      <c r="MSP103" s="1"/>
      <c r="MSQ103" s="1"/>
      <c r="MSR103" s="1"/>
      <c r="MSS103" s="1"/>
      <c r="MST103" s="1"/>
      <c r="MSU103" s="1"/>
      <c r="MSV103" s="1"/>
      <c r="MSW103" s="1"/>
      <c r="MSX103" s="1"/>
      <c r="MSY103" s="1"/>
      <c r="MSZ103" s="1"/>
      <c r="MTA103" s="1"/>
      <c r="MTB103" s="1"/>
      <c r="MTC103" s="1"/>
      <c r="MTD103" s="1"/>
      <c r="MTE103" s="1"/>
      <c r="MTF103" s="1"/>
      <c r="MTG103" s="1"/>
      <c r="MTH103" s="1"/>
      <c r="MTI103" s="1"/>
      <c r="MTJ103" s="1"/>
      <c r="MTK103" s="1"/>
      <c r="MTL103" s="1"/>
      <c r="MTM103" s="1"/>
      <c r="MTN103" s="1"/>
      <c r="MTO103" s="1"/>
      <c r="MTP103" s="1"/>
      <c r="MTQ103" s="1"/>
      <c r="MTR103" s="1"/>
      <c r="MTS103" s="1"/>
      <c r="MTT103" s="1"/>
      <c r="MTU103" s="1"/>
      <c r="MTV103" s="1"/>
      <c r="MTW103" s="1"/>
      <c r="MTX103" s="1"/>
      <c r="MTY103" s="1"/>
      <c r="MTZ103" s="1"/>
      <c r="MUA103" s="1"/>
      <c r="MUB103" s="1"/>
      <c r="MUC103" s="1"/>
      <c r="MUD103" s="1"/>
      <c r="MUE103" s="1"/>
      <c r="MUF103" s="1"/>
      <c r="MUG103" s="1"/>
      <c r="MUH103" s="1"/>
      <c r="MUI103" s="1"/>
      <c r="MUJ103" s="1"/>
      <c r="MUK103" s="1"/>
      <c r="MUL103" s="1"/>
      <c r="MUM103" s="1"/>
      <c r="MUN103" s="1"/>
      <c r="MUO103" s="1"/>
      <c r="MUP103" s="1"/>
      <c r="MUQ103" s="1"/>
      <c r="MUR103" s="1"/>
      <c r="MUS103" s="1"/>
      <c r="MUT103" s="1"/>
      <c r="MUU103" s="1"/>
      <c r="MUV103" s="1"/>
      <c r="MUW103" s="1"/>
      <c r="MUX103" s="1"/>
      <c r="MUY103" s="1"/>
      <c r="MUZ103" s="1"/>
      <c r="MVA103" s="1"/>
      <c r="MVB103" s="1"/>
      <c r="MVC103" s="1"/>
      <c r="MVD103" s="1"/>
      <c r="MVE103" s="1"/>
      <c r="MVF103" s="1"/>
      <c r="MVG103" s="1"/>
      <c r="MVH103" s="1"/>
      <c r="MVI103" s="1"/>
      <c r="MVJ103" s="1"/>
      <c r="MVK103" s="1"/>
      <c r="MVL103" s="1"/>
      <c r="MVM103" s="1"/>
      <c r="MVN103" s="1"/>
      <c r="MVO103" s="1"/>
      <c r="MVP103" s="1"/>
      <c r="MVQ103" s="1"/>
      <c r="MVR103" s="1"/>
      <c r="MVS103" s="1"/>
      <c r="MVT103" s="1"/>
      <c r="MVU103" s="1"/>
      <c r="MVV103" s="1"/>
      <c r="MVW103" s="1"/>
      <c r="MVX103" s="1"/>
      <c r="MVY103" s="1"/>
      <c r="MVZ103" s="1"/>
      <c r="MWA103" s="1"/>
      <c r="MWB103" s="1"/>
      <c r="MWC103" s="1"/>
      <c r="MWD103" s="1"/>
      <c r="MWE103" s="1"/>
      <c r="MWF103" s="1"/>
      <c r="MWG103" s="1"/>
      <c r="MWH103" s="1"/>
      <c r="MWI103" s="1"/>
      <c r="MWJ103" s="1"/>
      <c r="MWK103" s="1"/>
      <c r="MWL103" s="1"/>
      <c r="MWM103" s="1"/>
      <c r="MWN103" s="1"/>
      <c r="MWU103" s="1"/>
      <c r="MWV103" s="1"/>
      <c r="MWW103" s="1"/>
      <c r="MWX103" s="1"/>
      <c r="MWY103" s="1"/>
      <c r="MWZ103" s="1"/>
      <c r="MXA103" s="1"/>
      <c r="MXB103" s="1"/>
      <c r="MXC103" s="1"/>
      <c r="MXD103" s="1"/>
      <c r="MXE103" s="1"/>
      <c r="MXF103" s="1"/>
      <c r="MXG103" s="1"/>
      <c r="MXH103" s="1"/>
      <c r="MXI103" s="1"/>
      <c r="MXJ103" s="1"/>
      <c r="MXK103" s="1"/>
      <c r="MXL103" s="1"/>
      <c r="MXM103" s="1"/>
      <c r="MXN103" s="1"/>
      <c r="MXO103" s="1"/>
      <c r="MXP103" s="1"/>
      <c r="MXQ103" s="1"/>
      <c r="MXR103" s="1"/>
      <c r="MXS103" s="1"/>
      <c r="MXT103" s="1"/>
      <c r="MXU103" s="1"/>
      <c r="MXV103" s="1"/>
      <c r="MXW103" s="1"/>
      <c r="MXX103" s="1"/>
      <c r="MXY103" s="1"/>
      <c r="MXZ103" s="1"/>
      <c r="MYA103" s="1"/>
      <c r="MYB103" s="1"/>
      <c r="MYC103" s="1"/>
      <c r="MYD103" s="1"/>
      <c r="MYE103" s="1"/>
      <c r="MYF103" s="1"/>
      <c r="MYG103" s="1"/>
      <c r="MYH103" s="1"/>
      <c r="MYI103" s="1"/>
      <c r="MYJ103" s="1"/>
      <c r="MYK103" s="1"/>
      <c r="MYL103" s="1"/>
      <c r="MYM103" s="1"/>
      <c r="MYN103" s="1"/>
      <c r="MYO103" s="1"/>
      <c r="MYP103" s="1"/>
      <c r="MYQ103" s="1"/>
      <c r="MYR103" s="1"/>
      <c r="MYS103" s="1"/>
      <c r="MYT103" s="1"/>
      <c r="MYU103" s="1"/>
      <c r="MYV103" s="1"/>
      <c r="MYW103" s="1"/>
      <c r="MYX103" s="1"/>
      <c r="MYY103" s="1"/>
      <c r="MYZ103" s="1"/>
      <c r="MZA103" s="1"/>
      <c r="MZB103" s="1"/>
      <c r="MZC103" s="1"/>
      <c r="MZD103" s="1"/>
      <c r="MZE103" s="1"/>
      <c r="MZF103" s="1"/>
      <c r="MZG103" s="1"/>
      <c r="MZH103" s="1"/>
      <c r="MZI103" s="1"/>
      <c r="MZJ103" s="1"/>
      <c r="MZK103" s="1"/>
      <c r="MZL103" s="1"/>
      <c r="MZM103" s="1"/>
      <c r="MZN103" s="1"/>
      <c r="MZO103" s="1"/>
      <c r="MZP103" s="1"/>
      <c r="MZQ103" s="1"/>
      <c r="MZR103" s="1"/>
      <c r="MZS103" s="1"/>
      <c r="MZT103" s="1"/>
      <c r="MZU103" s="1"/>
      <c r="MZV103" s="1"/>
      <c r="MZW103" s="1"/>
      <c r="MZX103" s="1"/>
      <c r="MZY103" s="1"/>
      <c r="MZZ103" s="1"/>
      <c r="NAA103" s="1"/>
      <c r="NAB103" s="1"/>
      <c r="NAC103" s="1"/>
      <c r="NAD103" s="1"/>
      <c r="NAE103" s="1"/>
      <c r="NAF103" s="1"/>
      <c r="NAG103" s="1"/>
      <c r="NAH103" s="1"/>
      <c r="NAI103" s="1"/>
      <c r="NAJ103" s="1"/>
      <c r="NAK103" s="1"/>
      <c r="NAL103" s="1"/>
      <c r="NAM103" s="1"/>
      <c r="NAN103" s="1"/>
      <c r="NAO103" s="1"/>
      <c r="NAP103" s="1"/>
      <c r="NAQ103" s="1"/>
      <c r="NAR103" s="1"/>
      <c r="NAS103" s="1"/>
      <c r="NAT103" s="1"/>
      <c r="NAU103" s="1"/>
      <c r="NAV103" s="1"/>
      <c r="NAW103" s="1"/>
      <c r="NAX103" s="1"/>
      <c r="NAY103" s="1"/>
      <c r="NAZ103" s="1"/>
      <c r="NBA103" s="1"/>
      <c r="NBB103" s="1"/>
      <c r="NBC103" s="1"/>
      <c r="NBD103" s="1"/>
      <c r="NBE103" s="1"/>
      <c r="NBF103" s="1"/>
      <c r="NBG103" s="1"/>
      <c r="NBH103" s="1"/>
      <c r="NBI103" s="1"/>
      <c r="NBJ103" s="1"/>
      <c r="NBK103" s="1"/>
      <c r="NBL103" s="1"/>
      <c r="NBM103" s="1"/>
      <c r="NBN103" s="1"/>
      <c r="NBO103" s="1"/>
      <c r="NBP103" s="1"/>
      <c r="NBQ103" s="1"/>
      <c r="NBR103" s="1"/>
      <c r="NBS103" s="1"/>
      <c r="NBT103" s="1"/>
      <c r="NBU103" s="1"/>
      <c r="NBV103" s="1"/>
      <c r="NBW103" s="1"/>
      <c r="NBX103" s="1"/>
      <c r="NBY103" s="1"/>
      <c r="NBZ103" s="1"/>
      <c r="NCA103" s="1"/>
      <c r="NCB103" s="1"/>
      <c r="NCC103" s="1"/>
      <c r="NCD103" s="1"/>
      <c r="NCE103" s="1"/>
      <c r="NCF103" s="1"/>
      <c r="NCG103" s="1"/>
      <c r="NCH103" s="1"/>
      <c r="NCI103" s="1"/>
      <c r="NCJ103" s="1"/>
      <c r="NCK103" s="1"/>
      <c r="NCL103" s="1"/>
      <c r="NCM103" s="1"/>
      <c r="NCN103" s="1"/>
      <c r="NCO103" s="1"/>
      <c r="NCP103" s="1"/>
      <c r="NCQ103" s="1"/>
      <c r="NCR103" s="1"/>
      <c r="NCS103" s="1"/>
      <c r="NCT103" s="1"/>
      <c r="NCU103" s="1"/>
      <c r="NCV103" s="1"/>
      <c r="NCW103" s="1"/>
      <c r="NCX103" s="1"/>
      <c r="NCY103" s="1"/>
      <c r="NCZ103" s="1"/>
      <c r="NDA103" s="1"/>
      <c r="NDB103" s="1"/>
      <c r="NDC103" s="1"/>
      <c r="NDD103" s="1"/>
      <c r="NDE103" s="1"/>
      <c r="NDF103" s="1"/>
      <c r="NDG103" s="1"/>
      <c r="NDH103" s="1"/>
      <c r="NDI103" s="1"/>
      <c r="NDJ103" s="1"/>
      <c r="NDK103" s="1"/>
      <c r="NDL103" s="1"/>
      <c r="NDM103" s="1"/>
      <c r="NDN103" s="1"/>
      <c r="NDO103" s="1"/>
      <c r="NDP103" s="1"/>
      <c r="NDQ103" s="1"/>
      <c r="NDR103" s="1"/>
      <c r="NDS103" s="1"/>
      <c r="NDT103" s="1"/>
      <c r="NDU103" s="1"/>
      <c r="NDV103" s="1"/>
      <c r="NDW103" s="1"/>
      <c r="NDX103" s="1"/>
      <c r="NDY103" s="1"/>
      <c r="NDZ103" s="1"/>
      <c r="NEA103" s="1"/>
      <c r="NEB103" s="1"/>
      <c r="NEC103" s="1"/>
      <c r="NED103" s="1"/>
      <c r="NEE103" s="1"/>
      <c r="NEF103" s="1"/>
      <c r="NEG103" s="1"/>
      <c r="NEH103" s="1"/>
      <c r="NEI103" s="1"/>
      <c r="NEJ103" s="1"/>
      <c r="NEK103" s="1"/>
      <c r="NEL103" s="1"/>
      <c r="NEM103" s="1"/>
      <c r="NEN103" s="1"/>
      <c r="NEO103" s="1"/>
      <c r="NEP103" s="1"/>
      <c r="NEQ103" s="1"/>
      <c r="NER103" s="1"/>
      <c r="NES103" s="1"/>
      <c r="NET103" s="1"/>
      <c r="NEU103" s="1"/>
      <c r="NEV103" s="1"/>
      <c r="NEW103" s="1"/>
      <c r="NEX103" s="1"/>
      <c r="NEY103" s="1"/>
      <c r="NEZ103" s="1"/>
      <c r="NFA103" s="1"/>
      <c r="NFB103" s="1"/>
      <c r="NFC103" s="1"/>
      <c r="NFD103" s="1"/>
      <c r="NFE103" s="1"/>
      <c r="NFF103" s="1"/>
      <c r="NFG103" s="1"/>
      <c r="NFH103" s="1"/>
      <c r="NFI103" s="1"/>
      <c r="NFJ103" s="1"/>
      <c r="NFK103" s="1"/>
      <c r="NFL103" s="1"/>
      <c r="NFM103" s="1"/>
      <c r="NFN103" s="1"/>
      <c r="NFO103" s="1"/>
      <c r="NFP103" s="1"/>
      <c r="NFQ103" s="1"/>
      <c r="NFR103" s="1"/>
      <c r="NFS103" s="1"/>
      <c r="NFT103" s="1"/>
      <c r="NFU103" s="1"/>
      <c r="NFV103" s="1"/>
      <c r="NFW103" s="1"/>
      <c r="NFX103" s="1"/>
      <c r="NFY103" s="1"/>
      <c r="NFZ103" s="1"/>
      <c r="NGA103" s="1"/>
      <c r="NGB103" s="1"/>
      <c r="NGC103" s="1"/>
      <c r="NGD103" s="1"/>
      <c r="NGE103" s="1"/>
      <c r="NGF103" s="1"/>
      <c r="NGG103" s="1"/>
      <c r="NGH103" s="1"/>
      <c r="NGI103" s="1"/>
      <c r="NGJ103" s="1"/>
      <c r="NGQ103" s="1"/>
      <c r="NGR103" s="1"/>
      <c r="NGS103" s="1"/>
      <c r="NGT103" s="1"/>
      <c r="NGU103" s="1"/>
      <c r="NGV103" s="1"/>
      <c r="NGW103" s="1"/>
      <c r="NGX103" s="1"/>
      <c r="NGY103" s="1"/>
      <c r="NGZ103" s="1"/>
      <c r="NHA103" s="1"/>
      <c r="NHB103" s="1"/>
      <c r="NHC103" s="1"/>
      <c r="NHD103" s="1"/>
      <c r="NHE103" s="1"/>
      <c r="NHF103" s="1"/>
      <c r="NHG103" s="1"/>
      <c r="NHH103" s="1"/>
      <c r="NHI103" s="1"/>
      <c r="NHJ103" s="1"/>
      <c r="NHK103" s="1"/>
      <c r="NHL103" s="1"/>
      <c r="NHM103" s="1"/>
      <c r="NHN103" s="1"/>
      <c r="NHO103" s="1"/>
      <c r="NHP103" s="1"/>
      <c r="NHQ103" s="1"/>
      <c r="NHR103" s="1"/>
      <c r="NHS103" s="1"/>
      <c r="NHT103" s="1"/>
      <c r="NHU103" s="1"/>
      <c r="NHV103" s="1"/>
      <c r="NHW103" s="1"/>
      <c r="NHX103" s="1"/>
      <c r="NHY103" s="1"/>
      <c r="NHZ103" s="1"/>
      <c r="NIA103" s="1"/>
      <c r="NIB103" s="1"/>
      <c r="NIC103" s="1"/>
      <c r="NID103" s="1"/>
      <c r="NIE103" s="1"/>
      <c r="NIF103" s="1"/>
      <c r="NIG103" s="1"/>
      <c r="NIH103" s="1"/>
      <c r="NII103" s="1"/>
      <c r="NIJ103" s="1"/>
      <c r="NIK103" s="1"/>
      <c r="NIL103" s="1"/>
      <c r="NIM103" s="1"/>
      <c r="NIN103" s="1"/>
      <c r="NIO103" s="1"/>
      <c r="NIP103" s="1"/>
      <c r="NIQ103" s="1"/>
      <c r="NIR103" s="1"/>
      <c r="NIS103" s="1"/>
      <c r="NIT103" s="1"/>
      <c r="NIU103" s="1"/>
      <c r="NIV103" s="1"/>
      <c r="NIW103" s="1"/>
      <c r="NIX103" s="1"/>
      <c r="NIY103" s="1"/>
      <c r="NIZ103" s="1"/>
      <c r="NJA103" s="1"/>
      <c r="NJB103" s="1"/>
      <c r="NJC103" s="1"/>
      <c r="NJD103" s="1"/>
      <c r="NJE103" s="1"/>
      <c r="NJF103" s="1"/>
      <c r="NJG103" s="1"/>
      <c r="NJH103" s="1"/>
      <c r="NJI103" s="1"/>
      <c r="NJJ103" s="1"/>
      <c r="NJK103" s="1"/>
      <c r="NJL103" s="1"/>
      <c r="NJM103" s="1"/>
      <c r="NJN103" s="1"/>
      <c r="NJO103" s="1"/>
      <c r="NJP103" s="1"/>
      <c r="NJQ103" s="1"/>
      <c r="NJR103" s="1"/>
      <c r="NJS103" s="1"/>
      <c r="NJT103" s="1"/>
      <c r="NJU103" s="1"/>
      <c r="NJV103" s="1"/>
      <c r="NJW103" s="1"/>
      <c r="NJX103" s="1"/>
      <c r="NJY103" s="1"/>
      <c r="NJZ103" s="1"/>
      <c r="NKA103" s="1"/>
      <c r="NKB103" s="1"/>
      <c r="NKC103" s="1"/>
      <c r="NKD103" s="1"/>
      <c r="NKE103" s="1"/>
      <c r="NKF103" s="1"/>
      <c r="NKG103" s="1"/>
      <c r="NKH103" s="1"/>
      <c r="NKI103" s="1"/>
      <c r="NKJ103" s="1"/>
      <c r="NKK103" s="1"/>
      <c r="NKL103" s="1"/>
      <c r="NKM103" s="1"/>
      <c r="NKN103" s="1"/>
      <c r="NKO103" s="1"/>
      <c r="NKP103" s="1"/>
      <c r="NKQ103" s="1"/>
      <c r="NKR103" s="1"/>
      <c r="NKS103" s="1"/>
      <c r="NKT103" s="1"/>
      <c r="NKU103" s="1"/>
      <c r="NKV103" s="1"/>
      <c r="NKW103" s="1"/>
      <c r="NKX103" s="1"/>
      <c r="NKY103" s="1"/>
      <c r="NKZ103" s="1"/>
      <c r="NLA103" s="1"/>
      <c r="NLB103" s="1"/>
      <c r="NLC103" s="1"/>
      <c r="NLD103" s="1"/>
      <c r="NLE103" s="1"/>
      <c r="NLF103" s="1"/>
      <c r="NLG103" s="1"/>
      <c r="NLH103" s="1"/>
      <c r="NLI103" s="1"/>
      <c r="NLJ103" s="1"/>
      <c r="NLK103" s="1"/>
      <c r="NLL103" s="1"/>
      <c r="NLM103" s="1"/>
      <c r="NLN103" s="1"/>
      <c r="NLO103" s="1"/>
      <c r="NLP103" s="1"/>
      <c r="NLQ103" s="1"/>
      <c r="NLR103" s="1"/>
      <c r="NLS103" s="1"/>
      <c r="NLT103" s="1"/>
      <c r="NLU103" s="1"/>
      <c r="NLV103" s="1"/>
      <c r="NLW103" s="1"/>
      <c r="NLX103" s="1"/>
      <c r="NLY103" s="1"/>
      <c r="NLZ103" s="1"/>
      <c r="NMA103" s="1"/>
      <c r="NMB103" s="1"/>
      <c r="NMC103" s="1"/>
      <c r="NMD103" s="1"/>
      <c r="NME103" s="1"/>
      <c r="NMF103" s="1"/>
      <c r="NMG103" s="1"/>
      <c r="NMH103" s="1"/>
      <c r="NMI103" s="1"/>
      <c r="NMJ103" s="1"/>
      <c r="NMK103" s="1"/>
      <c r="NML103" s="1"/>
      <c r="NMM103" s="1"/>
      <c r="NMN103" s="1"/>
      <c r="NMO103" s="1"/>
      <c r="NMP103" s="1"/>
      <c r="NMQ103" s="1"/>
      <c r="NMR103" s="1"/>
      <c r="NMS103" s="1"/>
      <c r="NMT103" s="1"/>
      <c r="NMU103" s="1"/>
      <c r="NMV103" s="1"/>
      <c r="NMW103" s="1"/>
      <c r="NMX103" s="1"/>
      <c r="NMY103" s="1"/>
      <c r="NMZ103" s="1"/>
      <c r="NNA103" s="1"/>
      <c r="NNB103" s="1"/>
      <c r="NNC103" s="1"/>
      <c r="NND103" s="1"/>
      <c r="NNE103" s="1"/>
      <c r="NNF103" s="1"/>
      <c r="NNG103" s="1"/>
      <c r="NNH103" s="1"/>
      <c r="NNI103" s="1"/>
      <c r="NNJ103" s="1"/>
      <c r="NNK103" s="1"/>
      <c r="NNL103" s="1"/>
      <c r="NNM103" s="1"/>
      <c r="NNN103" s="1"/>
      <c r="NNO103" s="1"/>
      <c r="NNP103" s="1"/>
      <c r="NNQ103" s="1"/>
      <c r="NNR103" s="1"/>
      <c r="NNS103" s="1"/>
      <c r="NNT103" s="1"/>
      <c r="NNU103" s="1"/>
      <c r="NNV103" s="1"/>
      <c r="NNW103" s="1"/>
      <c r="NNX103" s="1"/>
      <c r="NNY103" s="1"/>
      <c r="NNZ103" s="1"/>
      <c r="NOA103" s="1"/>
      <c r="NOB103" s="1"/>
      <c r="NOC103" s="1"/>
      <c r="NOD103" s="1"/>
      <c r="NOE103" s="1"/>
      <c r="NOF103" s="1"/>
      <c r="NOG103" s="1"/>
      <c r="NOH103" s="1"/>
      <c r="NOI103" s="1"/>
      <c r="NOJ103" s="1"/>
      <c r="NOK103" s="1"/>
      <c r="NOL103" s="1"/>
      <c r="NOM103" s="1"/>
      <c r="NON103" s="1"/>
      <c r="NOO103" s="1"/>
      <c r="NOP103" s="1"/>
      <c r="NOQ103" s="1"/>
      <c r="NOR103" s="1"/>
      <c r="NOS103" s="1"/>
      <c r="NOT103" s="1"/>
      <c r="NOU103" s="1"/>
      <c r="NOV103" s="1"/>
      <c r="NOW103" s="1"/>
      <c r="NOX103" s="1"/>
      <c r="NOY103" s="1"/>
      <c r="NOZ103" s="1"/>
      <c r="NPA103" s="1"/>
      <c r="NPB103" s="1"/>
      <c r="NPC103" s="1"/>
      <c r="NPD103" s="1"/>
      <c r="NPE103" s="1"/>
      <c r="NPF103" s="1"/>
      <c r="NPG103" s="1"/>
      <c r="NPH103" s="1"/>
      <c r="NPI103" s="1"/>
      <c r="NPJ103" s="1"/>
      <c r="NPK103" s="1"/>
      <c r="NPL103" s="1"/>
      <c r="NPM103" s="1"/>
      <c r="NPN103" s="1"/>
      <c r="NPO103" s="1"/>
      <c r="NPP103" s="1"/>
      <c r="NPQ103" s="1"/>
      <c r="NPR103" s="1"/>
      <c r="NPS103" s="1"/>
      <c r="NPT103" s="1"/>
      <c r="NPU103" s="1"/>
      <c r="NPV103" s="1"/>
      <c r="NPW103" s="1"/>
      <c r="NPX103" s="1"/>
      <c r="NPY103" s="1"/>
      <c r="NPZ103" s="1"/>
      <c r="NQA103" s="1"/>
      <c r="NQB103" s="1"/>
      <c r="NQC103" s="1"/>
      <c r="NQD103" s="1"/>
      <c r="NQE103" s="1"/>
      <c r="NQF103" s="1"/>
      <c r="NQM103" s="1"/>
      <c r="NQN103" s="1"/>
      <c r="NQO103" s="1"/>
      <c r="NQP103" s="1"/>
      <c r="NQQ103" s="1"/>
      <c r="NQR103" s="1"/>
      <c r="NQS103" s="1"/>
      <c r="NQT103" s="1"/>
      <c r="NQU103" s="1"/>
      <c r="NQV103" s="1"/>
      <c r="NQW103" s="1"/>
      <c r="NQX103" s="1"/>
      <c r="NQY103" s="1"/>
      <c r="NQZ103" s="1"/>
      <c r="NRA103" s="1"/>
      <c r="NRB103" s="1"/>
      <c r="NRC103" s="1"/>
      <c r="NRD103" s="1"/>
      <c r="NRE103" s="1"/>
      <c r="NRF103" s="1"/>
      <c r="NRG103" s="1"/>
      <c r="NRH103" s="1"/>
      <c r="NRI103" s="1"/>
      <c r="NRJ103" s="1"/>
      <c r="NRK103" s="1"/>
      <c r="NRL103" s="1"/>
      <c r="NRM103" s="1"/>
      <c r="NRN103" s="1"/>
      <c r="NRO103" s="1"/>
      <c r="NRP103" s="1"/>
      <c r="NRQ103" s="1"/>
      <c r="NRR103" s="1"/>
      <c r="NRS103" s="1"/>
      <c r="NRT103" s="1"/>
      <c r="NRU103" s="1"/>
      <c r="NRV103" s="1"/>
      <c r="NRW103" s="1"/>
      <c r="NRX103" s="1"/>
      <c r="NRY103" s="1"/>
      <c r="NRZ103" s="1"/>
      <c r="NSA103" s="1"/>
      <c r="NSB103" s="1"/>
      <c r="NSC103" s="1"/>
      <c r="NSD103" s="1"/>
      <c r="NSE103" s="1"/>
      <c r="NSF103" s="1"/>
      <c r="NSG103" s="1"/>
      <c r="NSH103" s="1"/>
      <c r="NSI103" s="1"/>
      <c r="NSJ103" s="1"/>
      <c r="NSK103" s="1"/>
      <c r="NSL103" s="1"/>
      <c r="NSM103" s="1"/>
      <c r="NSN103" s="1"/>
      <c r="NSO103" s="1"/>
      <c r="NSP103" s="1"/>
      <c r="NSQ103" s="1"/>
      <c r="NSR103" s="1"/>
      <c r="NSS103" s="1"/>
      <c r="NST103" s="1"/>
      <c r="NSU103" s="1"/>
      <c r="NSV103" s="1"/>
      <c r="NSW103" s="1"/>
      <c r="NSX103" s="1"/>
      <c r="NSY103" s="1"/>
      <c r="NSZ103" s="1"/>
      <c r="NTA103" s="1"/>
      <c r="NTB103" s="1"/>
      <c r="NTC103" s="1"/>
      <c r="NTD103" s="1"/>
      <c r="NTE103" s="1"/>
      <c r="NTF103" s="1"/>
      <c r="NTG103" s="1"/>
      <c r="NTH103" s="1"/>
      <c r="NTI103" s="1"/>
      <c r="NTJ103" s="1"/>
      <c r="NTK103" s="1"/>
      <c r="NTL103" s="1"/>
      <c r="NTM103" s="1"/>
      <c r="NTN103" s="1"/>
      <c r="NTO103" s="1"/>
      <c r="NTP103" s="1"/>
      <c r="NTQ103" s="1"/>
      <c r="NTR103" s="1"/>
      <c r="NTS103" s="1"/>
      <c r="NTT103" s="1"/>
      <c r="NTU103" s="1"/>
      <c r="NTV103" s="1"/>
      <c r="NTW103" s="1"/>
      <c r="NTX103" s="1"/>
      <c r="NTY103" s="1"/>
      <c r="NTZ103" s="1"/>
      <c r="NUA103" s="1"/>
      <c r="NUB103" s="1"/>
      <c r="NUC103" s="1"/>
      <c r="NUD103" s="1"/>
      <c r="NUE103" s="1"/>
      <c r="NUF103" s="1"/>
      <c r="NUG103" s="1"/>
      <c r="NUH103" s="1"/>
      <c r="NUI103" s="1"/>
      <c r="NUJ103" s="1"/>
      <c r="NUK103" s="1"/>
      <c r="NUL103" s="1"/>
      <c r="NUM103" s="1"/>
      <c r="NUN103" s="1"/>
      <c r="NUO103" s="1"/>
      <c r="NUP103" s="1"/>
      <c r="NUQ103" s="1"/>
      <c r="NUR103" s="1"/>
      <c r="NUS103" s="1"/>
      <c r="NUT103" s="1"/>
      <c r="NUU103" s="1"/>
      <c r="NUV103" s="1"/>
      <c r="NUW103" s="1"/>
      <c r="NUX103" s="1"/>
      <c r="NUY103" s="1"/>
      <c r="NUZ103" s="1"/>
      <c r="NVA103" s="1"/>
      <c r="NVB103" s="1"/>
      <c r="NVC103" s="1"/>
      <c r="NVD103" s="1"/>
      <c r="NVE103" s="1"/>
      <c r="NVF103" s="1"/>
      <c r="NVG103" s="1"/>
      <c r="NVH103" s="1"/>
      <c r="NVI103" s="1"/>
      <c r="NVJ103" s="1"/>
      <c r="NVK103" s="1"/>
      <c r="NVL103" s="1"/>
      <c r="NVM103" s="1"/>
      <c r="NVN103" s="1"/>
      <c r="NVO103" s="1"/>
      <c r="NVP103" s="1"/>
      <c r="NVQ103" s="1"/>
      <c r="NVR103" s="1"/>
      <c r="NVS103" s="1"/>
      <c r="NVT103" s="1"/>
      <c r="NVU103" s="1"/>
      <c r="NVV103" s="1"/>
      <c r="NVW103" s="1"/>
      <c r="NVX103" s="1"/>
      <c r="NVY103" s="1"/>
      <c r="NVZ103" s="1"/>
      <c r="NWA103" s="1"/>
      <c r="NWB103" s="1"/>
      <c r="NWC103" s="1"/>
      <c r="NWD103" s="1"/>
      <c r="NWE103" s="1"/>
      <c r="NWF103" s="1"/>
      <c r="NWG103" s="1"/>
      <c r="NWH103" s="1"/>
      <c r="NWI103" s="1"/>
      <c r="NWJ103" s="1"/>
      <c r="NWK103" s="1"/>
      <c r="NWL103" s="1"/>
      <c r="NWM103" s="1"/>
      <c r="NWN103" s="1"/>
      <c r="NWO103" s="1"/>
      <c r="NWP103" s="1"/>
      <c r="NWQ103" s="1"/>
      <c r="NWR103" s="1"/>
      <c r="NWS103" s="1"/>
      <c r="NWT103" s="1"/>
      <c r="NWU103" s="1"/>
      <c r="NWV103" s="1"/>
      <c r="NWW103" s="1"/>
      <c r="NWX103" s="1"/>
      <c r="NWY103" s="1"/>
      <c r="NWZ103" s="1"/>
      <c r="NXA103" s="1"/>
      <c r="NXB103" s="1"/>
      <c r="NXC103" s="1"/>
      <c r="NXD103" s="1"/>
      <c r="NXE103" s="1"/>
      <c r="NXF103" s="1"/>
      <c r="NXG103" s="1"/>
      <c r="NXH103" s="1"/>
      <c r="NXI103" s="1"/>
      <c r="NXJ103" s="1"/>
      <c r="NXK103" s="1"/>
      <c r="NXL103" s="1"/>
      <c r="NXM103" s="1"/>
      <c r="NXN103" s="1"/>
      <c r="NXO103" s="1"/>
      <c r="NXP103" s="1"/>
      <c r="NXQ103" s="1"/>
      <c r="NXR103" s="1"/>
      <c r="NXS103" s="1"/>
      <c r="NXT103" s="1"/>
      <c r="NXU103" s="1"/>
      <c r="NXV103" s="1"/>
      <c r="NXW103" s="1"/>
      <c r="NXX103" s="1"/>
      <c r="NXY103" s="1"/>
      <c r="NXZ103" s="1"/>
      <c r="NYA103" s="1"/>
      <c r="NYB103" s="1"/>
      <c r="NYC103" s="1"/>
      <c r="NYD103" s="1"/>
      <c r="NYE103" s="1"/>
      <c r="NYF103" s="1"/>
      <c r="NYG103" s="1"/>
      <c r="NYH103" s="1"/>
      <c r="NYI103" s="1"/>
      <c r="NYJ103" s="1"/>
      <c r="NYK103" s="1"/>
      <c r="NYL103" s="1"/>
      <c r="NYM103" s="1"/>
      <c r="NYN103" s="1"/>
      <c r="NYO103" s="1"/>
      <c r="NYP103" s="1"/>
      <c r="NYQ103" s="1"/>
      <c r="NYR103" s="1"/>
      <c r="NYS103" s="1"/>
      <c r="NYT103" s="1"/>
      <c r="NYU103" s="1"/>
      <c r="NYV103" s="1"/>
      <c r="NYW103" s="1"/>
      <c r="NYX103" s="1"/>
      <c r="NYY103" s="1"/>
      <c r="NYZ103" s="1"/>
      <c r="NZA103" s="1"/>
      <c r="NZB103" s="1"/>
      <c r="NZC103" s="1"/>
      <c r="NZD103" s="1"/>
      <c r="NZE103" s="1"/>
      <c r="NZF103" s="1"/>
      <c r="NZG103" s="1"/>
      <c r="NZH103" s="1"/>
      <c r="NZI103" s="1"/>
      <c r="NZJ103" s="1"/>
      <c r="NZK103" s="1"/>
      <c r="NZL103" s="1"/>
      <c r="NZM103" s="1"/>
      <c r="NZN103" s="1"/>
      <c r="NZO103" s="1"/>
      <c r="NZP103" s="1"/>
      <c r="NZQ103" s="1"/>
      <c r="NZR103" s="1"/>
      <c r="NZS103" s="1"/>
      <c r="NZT103" s="1"/>
      <c r="NZU103" s="1"/>
      <c r="NZV103" s="1"/>
      <c r="NZW103" s="1"/>
      <c r="NZX103" s="1"/>
      <c r="NZY103" s="1"/>
      <c r="NZZ103" s="1"/>
      <c r="OAA103" s="1"/>
      <c r="OAB103" s="1"/>
      <c r="OAI103" s="1"/>
      <c r="OAJ103" s="1"/>
      <c r="OAK103" s="1"/>
      <c r="OAL103" s="1"/>
      <c r="OAM103" s="1"/>
      <c r="OAN103" s="1"/>
      <c r="OAO103" s="1"/>
      <c r="OAP103" s="1"/>
      <c r="OAQ103" s="1"/>
      <c r="OAR103" s="1"/>
      <c r="OAS103" s="1"/>
      <c r="OAT103" s="1"/>
      <c r="OAU103" s="1"/>
      <c r="OAV103" s="1"/>
      <c r="OAW103" s="1"/>
      <c r="OAX103" s="1"/>
      <c r="OAY103" s="1"/>
      <c r="OAZ103" s="1"/>
      <c r="OBA103" s="1"/>
      <c r="OBB103" s="1"/>
      <c r="OBC103" s="1"/>
      <c r="OBD103" s="1"/>
      <c r="OBE103" s="1"/>
      <c r="OBF103" s="1"/>
      <c r="OBG103" s="1"/>
      <c r="OBH103" s="1"/>
      <c r="OBI103" s="1"/>
      <c r="OBJ103" s="1"/>
      <c r="OBK103" s="1"/>
      <c r="OBL103" s="1"/>
      <c r="OBM103" s="1"/>
      <c r="OBN103" s="1"/>
      <c r="OBO103" s="1"/>
      <c r="OBP103" s="1"/>
      <c r="OBQ103" s="1"/>
      <c r="OBR103" s="1"/>
      <c r="OBS103" s="1"/>
      <c r="OBT103" s="1"/>
      <c r="OBU103" s="1"/>
      <c r="OBV103" s="1"/>
      <c r="OBW103" s="1"/>
      <c r="OBX103" s="1"/>
      <c r="OBY103" s="1"/>
      <c r="OBZ103" s="1"/>
      <c r="OCA103" s="1"/>
      <c r="OCB103" s="1"/>
      <c r="OCC103" s="1"/>
      <c r="OCD103" s="1"/>
      <c r="OCE103" s="1"/>
      <c r="OCF103" s="1"/>
      <c r="OCG103" s="1"/>
      <c r="OCH103" s="1"/>
      <c r="OCI103" s="1"/>
      <c r="OCJ103" s="1"/>
      <c r="OCK103" s="1"/>
      <c r="OCL103" s="1"/>
      <c r="OCM103" s="1"/>
      <c r="OCN103" s="1"/>
      <c r="OCO103" s="1"/>
      <c r="OCP103" s="1"/>
      <c r="OCQ103" s="1"/>
      <c r="OCR103" s="1"/>
      <c r="OCS103" s="1"/>
      <c r="OCT103" s="1"/>
      <c r="OCU103" s="1"/>
      <c r="OCV103" s="1"/>
      <c r="OCW103" s="1"/>
      <c r="OCX103" s="1"/>
      <c r="OCY103" s="1"/>
      <c r="OCZ103" s="1"/>
      <c r="ODA103" s="1"/>
      <c r="ODB103" s="1"/>
      <c r="ODC103" s="1"/>
      <c r="ODD103" s="1"/>
      <c r="ODE103" s="1"/>
      <c r="ODF103" s="1"/>
      <c r="ODG103" s="1"/>
      <c r="ODH103" s="1"/>
      <c r="ODI103" s="1"/>
      <c r="ODJ103" s="1"/>
      <c r="ODK103" s="1"/>
      <c r="ODL103" s="1"/>
      <c r="ODM103" s="1"/>
      <c r="ODN103" s="1"/>
      <c r="ODO103" s="1"/>
      <c r="ODP103" s="1"/>
      <c r="ODQ103" s="1"/>
      <c r="ODR103" s="1"/>
      <c r="ODS103" s="1"/>
      <c r="ODT103" s="1"/>
      <c r="ODU103" s="1"/>
      <c r="ODV103" s="1"/>
      <c r="ODW103" s="1"/>
      <c r="ODX103" s="1"/>
      <c r="ODY103" s="1"/>
      <c r="ODZ103" s="1"/>
      <c r="OEA103" s="1"/>
      <c r="OEB103" s="1"/>
      <c r="OEC103" s="1"/>
      <c r="OED103" s="1"/>
      <c r="OEE103" s="1"/>
      <c r="OEF103" s="1"/>
      <c r="OEG103" s="1"/>
      <c r="OEH103" s="1"/>
      <c r="OEI103" s="1"/>
      <c r="OEJ103" s="1"/>
      <c r="OEK103" s="1"/>
      <c r="OEL103" s="1"/>
      <c r="OEM103" s="1"/>
      <c r="OEN103" s="1"/>
      <c r="OEO103" s="1"/>
      <c r="OEP103" s="1"/>
      <c r="OEQ103" s="1"/>
      <c r="OER103" s="1"/>
      <c r="OES103" s="1"/>
      <c r="OET103" s="1"/>
      <c r="OEU103" s="1"/>
      <c r="OEV103" s="1"/>
      <c r="OEW103" s="1"/>
      <c r="OEX103" s="1"/>
      <c r="OEY103" s="1"/>
      <c r="OEZ103" s="1"/>
      <c r="OFA103" s="1"/>
      <c r="OFB103" s="1"/>
      <c r="OFC103" s="1"/>
      <c r="OFD103" s="1"/>
      <c r="OFE103" s="1"/>
      <c r="OFF103" s="1"/>
      <c r="OFG103" s="1"/>
      <c r="OFH103" s="1"/>
      <c r="OFI103" s="1"/>
      <c r="OFJ103" s="1"/>
      <c r="OFK103" s="1"/>
      <c r="OFL103" s="1"/>
      <c r="OFM103" s="1"/>
      <c r="OFN103" s="1"/>
      <c r="OFO103" s="1"/>
      <c r="OFP103" s="1"/>
      <c r="OFQ103" s="1"/>
      <c r="OFR103" s="1"/>
      <c r="OFS103" s="1"/>
      <c r="OFT103" s="1"/>
      <c r="OFU103" s="1"/>
      <c r="OFV103" s="1"/>
      <c r="OFW103" s="1"/>
      <c r="OFX103" s="1"/>
      <c r="OFY103" s="1"/>
      <c r="OFZ103" s="1"/>
      <c r="OGA103" s="1"/>
      <c r="OGB103" s="1"/>
      <c r="OGC103" s="1"/>
      <c r="OGD103" s="1"/>
      <c r="OGE103" s="1"/>
      <c r="OGF103" s="1"/>
      <c r="OGG103" s="1"/>
      <c r="OGH103" s="1"/>
      <c r="OGI103" s="1"/>
      <c r="OGJ103" s="1"/>
      <c r="OGK103" s="1"/>
      <c r="OGL103" s="1"/>
      <c r="OGM103" s="1"/>
      <c r="OGN103" s="1"/>
      <c r="OGO103" s="1"/>
      <c r="OGP103" s="1"/>
      <c r="OGQ103" s="1"/>
      <c r="OGR103" s="1"/>
      <c r="OGS103" s="1"/>
      <c r="OGT103" s="1"/>
      <c r="OGU103" s="1"/>
      <c r="OGV103" s="1"/>
      <c r="OGW103" s="1"/>
      <c r="OGX103" s="1"/>
      <c r="OGY103" s="1"/>
      <c r="OGZ103" s="1"/>
      <c r="OHA103" s="1"/>
      <c r="OHB103" s="1"/>
      <c r="OHC103" s="1"/>
      <c r="OHD103" s="1"/>
      <c r="OHE103" s="1"/>
      <c r="OHF103" s="1"/>
      <c r="OHG103" s="1"/>
      <c r="OHH103" s="1"/>
      <c r="OHI103" s="1"/>
      <c r="OHJ103" s="1"/>
      <c r="OHK103" s="1"/>
      <c r="OHL103" s="1"/>
      <c r="OHM103" s="1"/>
      <c r="OHN103" s="1"/>
      <c r="OHO103" s="1"/>
      <c r="OHP103" s="1"/>
      <c r="OHQ103" s="1"/>
      <c r="OHR103" s="1"/>
      <c r="OHS103" s="1"/>
      <c r="OHT103" s="1"/>
      <c r="OHU103" s="1"/>
      <c r="OHV103" s="1"/>
      <c r="OHW103" s="1"/>
      <c r="OHX103" s="1"/>
      <c r="OHY103" s="1"/>
      <c r="OHZ103" s="1"/>
      <c r="OIA103" s="1"/>
      <c r="OIB103" s="1"/>
      <c r="OIC103" s="1"/>
      <c r="OID103" s="1"/>
      <c r="OIE103" s="1"/>
      <c r="OIF103" s="1"/>
      <c r="OIG103" s="1"/>
      <c r="OIH103" s="1"/>
      <c r="OII103" s="1"/>
      <c r="OIJ103" s="1"/>
      <c r="OIK103" s="1"/>
      <c r="OIL103" s="1"/>
      <c r="OIM103" s="1"/>
      <c r="OIN103" s="1"/>
      <c r="OIO103" s="1"/>
      <c r="OIP103" s="1"/>
      <c r="OIQ103" s="1"/>
      <c r="OIR103" s="1"/>
      <c r="OIS103" s="1"/>
      <c r="OIT103" s="1"/>
      <c r="OIU103" s="1"/>
      <c r="OIV103" s="1"/>
      <c r="OIW103" s="1"/>
      <c r="OIX103" s="1"/>
      <c r="OIY103" s="1"/>
      <c r="OIZ103" s="1"/>
      <c r="OJA103" s="1"/>
      <c r="OJB103" s="1"/>
      <c r="OJC103" s="1"/>
      <c r="OJD103" s="1"/>
      <c r="OJE103" s="1"/>
      <c r="OJF103" s="1"/>
      <c r="OJG103" s="1"/>
      <c r="OJH103" s="1"/>
      <c r="OJI103" s="1"/>
      <c r="OJJ103" s="1"/>
      <c r="OJK103" s="1"/>
      <c r="OJL103" s="1"/>
      <c r="OJM103" s="1"/>
      <c r="OJN103" s="1"/>
      <c r="OJO103" s="1"/>
      <c r="OJP103" s="1"/>
      <c r="OJQ103" s="1"/>
      <c r="OJR103" s="1"/>
      <c r="OJS103" s="1"/>
      <c r="OJT103" s="1"/>
      <c r="OJU103" s="1"/>
      <c r="OJV103" s="1"/>
      <c r="OJW103" s="1"/>
      <c r="OJX103" s="1"/>
      <c r="OKE103" s="1"/>
      <c r="OKF103" s="1"/>
      <c r="OKG103" s="1"/>
      <c r="OKH103" s="1"/>
      <c r="OKI103" s="1"/>
      <c r="OKJ103" s="1"/>
      <c r="OKK103" s="1"/>
      <c r="OKL103" s="1"/>
      <c r="OKM103" s="1"/>
      <c r="OKN103" s="1"/>
      <c r="OKO103" s="1"/>
      <c r="OKP103" s="1"/>
      <c r="OKQ103" s="1"/>
      <c r="OKR103" s="1"/>
      <c r="OKS103" s="1"/>
      <c r="OKT103" s="1"/>
      <c r="OKU103" s="1"/>
      <c r="OKV103" s="1"/>
      <c r="OKW103" s="1"/>
      <c r="OKX103" s="1"/>
      <c r="OKY103" s="1"/>
      <c r="OKZ103" s="1"/>
      <c r="OLA103" s="1"/>
      <c r="OLB103" s="1"/>
      <c r="OLC103" s="1"/>
      <c r="OLD103" s="1"/>
      <c r="OLE103" s="1"/>
      <c r="OLF103" s="1"/>
      <c r="OLG103" s="1"/>
      <c r="OLH103" s="1"/>
      <c r="OLI103" s="1"/>
      <c r="OLJ103" s="1"/>
      <c r="OLK103" s="1"/>
      <c r="OLL103" s="1"/>
      <c r="OLM103" s="1"/>
      <c r="OLN103" s="1"/>
      <c r="OLO103" s="1"/>
      <c r="OLP103" s="1"/>
      <c r="OLQ103" s="1"/>
      <c r="OLR103" s="1"/>
      <c r="OLS103" s="1"/>
      <c r="OLT103" s="1"/>
      <c r="OLU103" s="1"/>
      <c r="OLV103" s="1"/>
      <c r="OLW103" s="1"/>
      <c r="OLX103" s="1"/>
      <c r="OLY103" s="1"/>
      <c r="OLZ103" s="1"/>
      <c r="OMA103" s="1"/>
      <c r="OMB103" s="1"/>
      <c r="OMC103" s="1"/>
      <c r="OMD103" s="1"/>
      <c r="OME103" s="1"/>
      <c r="OMF103" s="1"/>
      <c r="OMG103" s="1"/>
      <c r="OMH103" s="1"/>
      <c r="OMI103" s="1"/>
      <c r="OMJ103" s="1"/>
      <c r="OMK103" s="1"/>
      <c r="OML103" s="1"/>
      <c r="OMM103" s="1"/>
      <c r="OMN103" s="1"/>
      <c r="OMO103" s="1"/>
      <c r="OMP103" s="1"/>
      <c r="OMQ103" s="1"/>
      <c r="OMR103" s="1"/>
      <c r="OMS103" s="1"/>
      <c r="OMT103" s="1"/>
      <c r="OMU103" s="1"/>
      <c r="OMV103" s="1"/>
      <c r="OMW103" s="1"/>
      <c r="OMX103" s="1"/>
      <c r="OMY103" s="1"/>
      <c r="OMZ103" s="1"/>
      <c r="ONA103" s="1"/>
      <c r="ONB103" s="1"/>
      <c r="ONC103" s="1"/>
      <c r="OND103" s="1"/>
      <c r="ONE103" s="1"/>
      <c r="ONF103" s="1"/>
      <c r="ONG103" s="1"/>
      <c r="ONH103" s="1"/>
      <c r="ONI103" s="1"/>
      <c r="ONJ103" s="1"/>
      <c r="ONK103" s="1"/>
      <c r="ONL103" s="1"/>
      <c r="ONM103" s="1"/>
      <c r="ONN103" s="1"/>
      <c r="ONO103" s="1"/>
      <c r="ONP103" s="1"/>
      <c r="ONQ103" s="1"/>
      <c r="ONR103" s="1"/>
      <c r="ONS103" s="1"/>
      <c r="ONT103" s="1"/>
      <c r="ONU103" s="1"/>
      <c r="ONV103" s="1"/>
      <c r="ONW103" s="1"/>
      <c r="ONX103" s="1"/>
      <c r="ONY103" s="1"/>
      <c r="ONZ103" s="1"/>
      <c r="OOA103" s="1"/>
      <c r="OOB103" s="1"/>
      <c r="OOC103" s="1"/>
      <c r="OOD103" s="1"/>
      <c r="OOE103" s="1"/>
      <c r="OOF103" s="1"/>
      <c r="OOG103" s="1"/>
      <c r="OOH103" s="1"/>
      <c r="OOI103" s="1"/>
      <c r="OOJ103" s="1"/>
      <c r="OOK103" s="1"/>
      <c r="OOL103" s="1"/>
      <c r="OOM103" s="1"/>
      <c r="OON103" s="1"/>
      <c r="OOO103" s="1"/>
      <c r="OOP103" s="1"/>
      <c r="OOQ103" s="1"/>
      <c r="OOR103" s="1"/>
      <c r="OOS103" s="1"/>
      <c r="OOT103" s="1"/>
      <c r="OOU103" s="1"/>
      <c r="OOV103" s="1"/>
      <c r="OOW103" s="1"/>
      <c r="OOX103" s="1"/>
      <c r="OOY103" s="1"/>
      <c r="OOZ103" s="1"/>
      <c r="OPA103" s="1"/>
      <c r="OPB103" s="1"/>
      <c r="OPC103" s="1"/>
      <c r="OPD103" s="1"/>
      <c r="OPE103" s="1"/>
      <c r="OPF103" s="1"/>
      <c r="OPG103" s="1"/>
      <c r="OPH103" s="1"/>
      <c r="OPI103" s="1"/>
      <c r="OPJ103" s="1"/>
      <c r="OPK103" s="1"/>
      <c r="OPL103" s="1"/>
      <c r="OPM103" s="1"/>
      <c r="OPN103" s="1"/>
      <c r="OPO103" s="1"/>
      <c r="OPP103" s="1"/>
      <c r="OPQ103" s="1"/>
      <c r="OPR103" s="1"/>
      <c r="OPS103" s="1"/>
      <c r="OPT103" s="1"/>
      <c r="OPU103" s="1"/>
      <c r="OPV103" s="1"/>
      <c r="OPW103" s="1"/>
      <c r="OPX103" s="1"/>
      <c r="OPY103" s="1"/>
      <c r="OPZ103" s="1"/>
      <c r="OQA103" s="1"/>
      <c r="OQB103" s="1"/>
      <c r="OQC103" s="1"/>
      <c r="OQD103" s="1"/>
      <c r="OQE103" s="1"/>
      <c r="OQF103" s="1"/>
      <c r="OQG103" s="1"/>
      <c r="OQH103" s="1"/>
      <c r="OQI103" s="1"/>
      <c r="OQJ103" s="1"/>
      <c r="OQK103" s="1"/>
      <c r="OQL103" s="1"/>
      <c r="OQM103" s="1"/>
      <c r="OQN103" s="1"/>
      <c r="OQO103" s="1"/>
      <c r="OQP103" s="1"/>
      <c r="OQQ103" s="1"/>
      <c r="OQR103" s="1"/>
      <c r="OQS103" s="1"/>
      <c r="OQT103" s="1"/>
      <c r="OQU103" s="1"/>
      <c r="OQV103" s="1"/>
      <c r="OQW103" s="1"/>
      <c r="OQX103" s="1"/>
      <c r="OQY103" s="1"/>
      <c r="OQZ103" s="1"/>
      <c r="ORA103" s="1"/>
      <c r="ORB103" s="1"/>
      <c r="ORC103" s="1"/>
      <c r="ORD103" s="1"/>
      <c r="ORE103" s="1"/>
      <c r="ORF103" s="1"/>
      <c r="ORG103" s="1"/>
      <c r="ORH103" s="1"/>
      <c r="ORI103" s="1"/>
      <c r="ORJ103" s="1"/>
      <c r="ORK103" s="1"/>
      <c r="ORL103" s="1"/>
      <c r="ORM103" s="1"/>
      <c r="ORN103" s="1"/>
      <c r="ORO103" s="1"/>
      <c r="ORP103" s="1"/>
      <c r="ORQ103" s="1"/>
      <c r="ORR103" s="1"/>
      <c r="ORS103" s="1"/>
      <c r="ORT103" s="1"/>
      <c r="ORU103" s="1"/>
      <c r="ORV103" s="1"/>
      <c r="ORW103" s="1"/>
      <c r="ORX103" s="1"/>
      <c r="ORY103" s="1"/>
      <c r="ORZ103" s="1"/>
      <c r="OSA103" s="1"/>
      <c r="OSB103" s="1"/>
      <c r="OSC103" s="1"/>
      <c r="OSD103" s="1"/>
      <c r="OSE103" s="1"/>
      <c r="OSF103" s="1"/>
      <c r="OSG103" s="1"/>
      <c r="OSH103" s="1"/>
      <c r="OSI103" s="1"/>
      <c r="OSJ103" s="1"/>
      <c r="OSK103" s="1"/>
      <c r="OSL103" s="1"/>
      <c r="OSM103" s="1"/>
      <c r="OSN103" s="1"/>
      <c r="OSO103" s="1"/>
      <c r="OSP103" s="1"/>
      <c r="OSQ103" s="1"/>
      <c r="OSR103" s="1"/>
      <c r="OSS103" s="1"/>
      <c r="OST103" s="1"/>
      <c r="OSU103" s="1"/>
      <c r="OSV103" s="1"/>
      <c r="OSW103" s="1"/>
      <c r="OSX103" s="1"/>
      <c r="OSY103" s="1"/>
      <c r="OSZ103" s="1"/>
      <c r="OTA103" s="1"/>
      <c r="OTB103" s="1"/>
      <c r="OTC103" s="1"/>
      <c r="OTD103" s="1"/>
      <c r="OTE103" s="1"/>
      <c r="OTF103" s="1"/>
      <c r="OTG103" s="1"/>
      <c r="OTH103" s="1"/>
      <c r="OTI103" s="1"/>
      <c r="OTJ103" s="1"/>
      <c r="OTK103" s="1"/>
      <c r="OTL103" s="1"/>
      <c r="OTM103" s="1"/>
      <c r="OTN103" s="1"/>
      <c r="OTO103" s="1"/>
      <c r="OTP103" s="1"/>
      <c r="OTQ103" s="1"/>
      <c r="OTR103" s="1"/>
      <c r="OTS103" s="1"/>
      <c r="OTT103" s="1"/>
      <c r="OUA103" s="1"/>
      <c r="OUB103" s="1"/>
      <c r="OUC103" s="1"/>
      <c r="OUD103" s="1"/>
      <c r="OUE103" s="1"/>
      <c r="OUF103" s="1"/>
      <c r="OUG103" s="1"/>
      <c r="OUH103" s="1"/>
      <c r="OUI103" s="1"/>
      <c r="OUJ103" s="1"/>
      <c r="OUK103" s="1"/>
      <c r="OUL103" s="1"/>
      <c r="OUM103" s="1"/>
      <c r="OUN103" s="1"/>
      <c r="OUO103" s="1"/>
      <c r="OUP103" s="1"/>
      <c r="OUQ103" s="1"/>
      <c r="OUR103" s="1"/>
      <c r="OUS103" s="1"/>
      <c r="OUT103" s="1"/>
      <c r="OUU103" s="1"/>
      <c r="OUV103" s="1"/>
      <c r="OUW103" s="1"/>
      <c r="OUX103" s="1"/>
      <c r="OUY103" s="1"/>
      <c r="OUZ103" s="1"/>
      <c r="OVA103" s="1"/>
      <c r="OVB103" s="1"/>
      <c r="OVC103" s="1"/>
      <c r="OVD103" s="1"/>
      <c r="OVE103" s="1"/>
      <c r="OVF103" s="1"/>
      <c r="OVG103" s="1"/>
      <c r="OVH103" s="1"/>
      <c r="OVI103" s="1"/>
      <c r="OVJ103" s="1"/>
      <c r="OVK103" s="1"/>
      <c r="OVL103" s="1"/>
      <c r="OVM103" s="1"/>
      <c r="OVN103" s="1"/>
      <c r="OVO103" s="1"/>
      <c r="OVP103" s="1"/>
      <c r="OVQ103" s="1"/>
      <c r="OVR103" s="1"/>
      <c r="OVS103" s="1"/>
      <c r="OVT103" s="1"/>
      <c r="OVU103" s="1"/>
      <c r="OVV103" s="1"/>
      <c r="OVW103" s="1"/>
      <c r="OVX103" s="1"/>
      <c r="OVY103" s="1"/>
      <c r="OVZ103" s="1"/>
      <c r="OWA103" s="1"/>
      <c r="OWB103" s="1"/>
      <c r="OWC103" s="1"/>
      <c r="OWD103" s="1"/>
      <c r="OWE103" s="1"/>
      <c r="OWF103" s="1"/>
      <c r="OWG103" s="1"/>
      <c r="OWH103" s="1"/>
      <c r="OWI103" s="1"/>
      <c r="OWJ103" s="1"/>
      <c r="OWK103" s="1"/>
      <c r="OWL103" s="1"/>
      <c r="OWM103" s="1"/>
      <c r="OWN103" s="1"/>
      <c r="OWO103" s="1"/>
      <c r="OWP103" s="1"/>
      <c r="OWQ103" s="1"/>
      <c r="OWR103" s="1"/>
      <c r="OWS103" s="1"/>
      <c r="OWT103" s="1"/>
      <c r="OWU103" s="1"/>
      <c r="OWV103" s="1"/>
      <c r="OWW103" s="1"/>
      <c r="OWX103" s="1"/>
      <c r="OWY103" s="1"/>
      <c r="OWZ103" s="1"/>
      <c r="OXA103" s="1"/>
      <c r="OXB103" s="1"/>
      <c r="OXC103" s="1"/>
      <c r="OXD103" s="1"/>
      <c r="OXE103" s="1"/>
      <c r="OXF103" s="1"/>
      <c r="OXG103" s="1"/>
      <c r="OXH103" s="1"/>
      <c r="OXI103" s="1"/>
      <c r="OXJ103" s="1"/>
      <c r="OXK103" s="1"/>
      <c r="OXL103" s="1"/>
      <c r="OXM103" s="1"/>
      <c r="OXN103" s="1"/>
      <c r="OXO103" s="1"/>
      <c r="OXP103" s="1"/>
      <c r="OXQ103" s="1"/>
      <c r="OXR103" s="1"/>
      <c r="OXS103" s="1"/>
      <c r="OXT103" s="1"/>
      <c r="OXU103" s="1"/>
      <c r="OXV103" s="1"/>
      <c r="OXW103" s="1"/>
      <c r="OXX103" s="1"/>
      <c r="OXY103" s="1"/>
      <c r="OXZ103" s="1"/>
      <c r="OYA103" s="1"/>
      <c r="OYB103" s="1"/>
      <c r="OYC103" s="1"/>
      <c r="OYD103" s="1"/>
      <c r="OYE103" s="1"/>
      <c r="OYF103" s="1"/>
      <c r="OYG103" s="1"/>
      <c r="OYH103" s="1"/>
      <c r="OYI103" s="1"/>
      <c r="OYJ103" s="1"/>
      <c r="OYK103" s="1"/>
      <c r="OYL103" s="1"/>
      <c r="OYM103" s="1"/>
      <c r="OYN103" s="1"/>
      <c r="OYO103" s="1"/>
      <c r="OYP103" s="1"/>
      <c r="OYQ103" s="1"/>
      <c r="OYR103" s="1"/>
      <c r="OYS103" s="1"/>
      <c r="OYT103" s="1"/>
      <c r="OYU103" s="1"/>
      <c r="OYV103" s="1"/>
      <c r="OYW103" s="1"/>
      <c r="OYX103" s="1"/>
      <c r="OYY103" s="1"/>
      <c r="OYZ103" s="1"/>
      <c r="OZA103" s="1"/>
      <c r="OZB103" s="1"/>
      <c r="OZC103" s="1"/>
      <c r="OZD103" s="1"/>
      <c r="OZE103" s="1"/>
      <c r="OZF103" s="1"/>
      <c r="OZG103" s="1"/>
      <c r="OZH103" s="1"/>
      <c r="OZI103" s="1"/>
      <c r="OZJ103" s="1"/>
      <c r="OZK103" s="1"/>
      <c r="OZL103" s="1"/>
      <c r="OZM103" s="1"/>
      <c r="OZN103" s="1"/>
      <c r="OZO103" s="1"/>
      <c r="OZP103" s="1"/>
      <c r="OZQ103" s="1"/>
      <c r="OZR103" s="1"/>
      <c r="OZS103" s="1"/>
      <c r="OZT103" s="1"/>
      <c r="OZU103" s="1"/>
      <c r="OZV103" s="1"/>
      <c r="OZW103" s="1"/>
      <c r="OZX103" s="1"/>
      <c r="OZY103" s="1"/>
      <c r="OZZ103" s="1"/>
      <c r="PAA103" s="1"/>
      <c r="PAB103" s="1"/>
      <c r="PAC103" s="1"/>
      <c r="PAD103" s="1"/>
      <c r="PAE103" s="1"/>
      <c r="PAF103" s="1"/>
      <c r="PAG103" s="1"/>
      <c r="PAH103" s="1"/>
      <c r="PAI103" s="1"/>
      <c r="PAJ103" s="1"/>
      <c r="PAK103" s="1"/>
      <c r="PAL103" s="1"/>
      <c r="PAM103" s="1"/>
      <c r="PAN103" s="1"/>
      <c r="PAO103" s="1"/>
      <c r="PAP103" s="1"/>
      <c r="PAQ103" s="1"/>
      <c r="PAR103" s="1"/>
      <c r="PAS103" s="1"/>
      <c r="PAT103" s="1"/>
      <c r="PAU103" s="1"/>
      <c r="PAV103" s="1"/>
      <c r="PAW103" s="1"/>
      <c r="PAX103" s="1"/>
      <c r="PAY103" s="1"/>
      <c r="PAZ103" s="1"/>
      <c r="PBA103" s="1"/>
      <c r="PBB103" s="1"/>
      <c r="PBC103" s="1"/>
      <c r="PBD103" s="1"/>
      <c r="PBE103" s="1"/>
      <c r="PBF103" s="1"/>
      <c r="PBG103" s="1"/>
      <c r="PBH103" s="1"/>
      <c r="PBI103" s="1"/>
      <c r="PBJ103" s="1"/>
      <c r="PBK103" s="1"/>
      <c r="PBL103" s="1"/>
      <c r="PBM103" s="1"/>
      <c r="PBN103" s="1"/>
      <c r="PBO103" s="1"/>
      <c r="PBP103" s="1"/>
      <c r="PBQ103" s="1"/>
      <c r="PBR103" s="1"/>
      <c r="PBS103" s="1"/>
      <c r="PBT103" s="1"/>
      <c r="PBU103" s="1"/>
      <c r="PBV103" s="1"/>
      <c r="PBW103" s="1"/>
      <c r="PBX103" s="1"/>
      <c r="PBY103" s="1"/>
      <c r="PBZ103" s="1"/>
      <c r="PCA103" s="1"/>
      <c r="PCB103" s="1"/>
      <c r="PCC103" s="1"/>
      <c r="PCD103" s="1"/>
      <c r="PCE103" s="1"/>
      <c r="PCF103" s="1"/>
      <c r="PCG103" s="1"/>
      <c r="PCH103" s="1"/>
      <c r="PCI103" s="1"/>
      <c r="PCJ103" s="1"/>
      <c r="PCK103" s="1"/>
      <c r="PCL103" s="1"/>
      <c r="PCM103" s="1"/>
      <c r="PCN103" s="1"/>
      <c r="PCO103" s="1"/>
      <c r="PCP103" s="1"/>
      <c r="PCQ103" s="1"/>
      <c r="PCR103" s="1"/>
      <c r="PCS103" s="1"/>
      <c r="PCT103" s="1"/>
      <c r="PCU103" s="1"/>
      <c r="PCV103" s="1"/>
      <c r="PCW103" s="1"/>
      <c r="PCX103" s="1"/>
      <c r="PCY103" s="1"/>
      <c r="PCZ103" s="1"/>
      <c r="PDA103" s="1"/>
      <c r="PDB103" s="1"/>
      <c r="PDC103" s="1"/>
      <c r="PDD103" s="1"/>
      <c r="PDE103" s="1"/>
      <c r="PDF103" s="1"/>
      <c r="PDG103" s="1"/>
      <c r="PDH103" s="1"/>
      <c r="PDI103" s="1"/>
      <c r="PDJ103" s="1"/>
      <c r="PDK103" s="1"/>
      <c r="PDL103" s="1"/>
      <c r="PDM103" s="1"/>
      <c r="PDN103" s="1"/>
      <c r="PDO103" s="1"/>
      <c r="PDP103" s="1"/>
      <c r="PDW103" s="1"/>
      <c r="PDX103" s="1"/>
      <c r="PDY103" s="1"/>
      <c r="PDZ103" s="1"/>
      <c r="PEA103" s="1"/>
      <c r="PEB103" s="1"/>
      <c r="PEC103" s="1"/>
      <c r="PED103" s="1"/>
      <c r="PEE103" s="1"/>
      <c r="PEF103" s="1"/>
      <c r="PEG103" s="1"/>
      <c r="PEH103" s="1"/>
      <c r="PEI103" s="1"/>
      <c r="PEJ103" s="1"/>
      <c r="PEK103" s="1"/>
      <c r="PEL103" s="1"/>
      <c r="PEM103" s="1"/>
      <c r="PEN103" s="1"/>
      <c r="PEO103" s="1"/>
      <c r="PEP103" s="1"/>
      <c r="PEQ103" s="1"/>
      <c r="PER103" s="1"/>
      <c r="PES103" s="1"/>
      <c r="PET103" s="1"/>
      <c r="PEU103" s="1"/>
      <c r="PEV103" s="1"/>
      <c r="PEW103" s="1"/>
      <c r="PEX103" s="1"/>
      <c r="PEY103" s="1"/>
      <c r="PEZ103" s="1"/>
      <c r="PFA103" s="1"/>
      <c r="PFB103" s="1"/>
      <c r="PFC103" s="1"/>
      <c r="PFD103" s="1"/>
      <c r="PFE103" s="1"/>
      <c r="PFF103" s="1"/>
      <c r="PFG103" s="1"/>
      <c r="PFH103" s="1"/>
      <c r="PFI103" s="1"/>
      <c r="PFJ103" s="1"/>
      <c r="PFK103" s="1"/>
      <c r="PFL103" s="1"/>
      <c r="PFM103" s="1"/>
      <c r="PFN103" s="1"/>
      <c r="PFO103" s="1"/>
      <c r="PFP103" s="1"/>
      <c r="PFQ103" s="1"/>
      <c r="PFR103" s="1"/>
      <c r="PFS103" s="1"/>
      <c r="PFT103" s="1"/>
      <c r="PFU103" s="1"/>
      <c r="PFV103" s="1"/>
      <c r="PFW103" s="1"/>
      <c r="PFX103" s="1"/>
      <c r="PFY103" s="1"/>
      <c r="PFZ103" s="1"/>
      <c r="PGA103" s="1"/>
      <c r="PGB103" s="1"/>
      <c r="PGC103" s="1"/>
      <c r="PGD103" s="1"/>
      <c r="PGE103" s="1"/>
      <c r="PGF103" s="1"/>
      <c r="PGG103" s="1"/>
      <c r="PGH103" s="1"/>
      <c r="PGI103" s="1"/>
      <c r="PGJ103" s="1"/>
      <c r="PGK103" s="1"/>
      <c r="PGL103" s="1"/>
      <c r="PGM103" s="1"/>
      <c r="PGN103" s="1"/>
      <c r="PGO103" s="1"/>
      <c r="PGP103" s="1"/>
      <c r="PGQ103" s="1"/>
      <c r="PGR103" s="1"/>
      <c r="PGS103" s="1"/>
      <c r="PGT103" s="1"/>
      <c r="PGU103" s="1"/>
      <c r="PGV103" s="1"/>
      <c r="PGW103" s="1"/>
      <c r="PGX103" s="1"/>
      <c r="PGY103" s="1"/>
      <c r="PGZ103" s="1"/>
      <c r="PHA103" s="1"/>
      <c r="PHB103" s="1"/>
      <c r="PHC103" s="1"/>
      <c r="PHD103" s="1"/>
      <c r="PHE103" s="1"/>
      <c r="PHF103" s="1"/>
      <c r="PHG103" s="1"/>
      <c r="PHH103" s="1"/>
      <c r="PHI103" s="1"/>
      <c r="PHJ103" s="1"/>
      <c r="PHK103" s="1"/>
      <c r="PHL103" s="1"/>
      <c r="PHM103" s="1"/>
      <c r="PHN103" s="1"/>
      <c r="PHO103" s="1"/>
      <c r="PHP103" s="1"/>
      <c r="PHQ103" s="1"/>
      <c r="PHR103" s="1"/>
      <c r="PHS103" s="1"/>
      <c r="PHT103" s="1"/>
      <c r="PHU103" s="1"/>
      <c r="PHV103" s="1"/>
      <c r="PHW103" s="1"/>
      <c r="PHX103" s="1"/>
      <c r="PHY103" s="1"/>
      <c r="PHZ103" s="1"/>
      <c r="PIA103" s="1"/>
      <c r="PIB103" s="1"/>
      <c r="PIC103" s="1"/>
      <c r="PID103" s="1"/>
      <c r="PIE103" s="1"/>
      <c r="PIF103" s="1"/>
      <c r="PIG103" s="1"/>
      <c r="PIH103" s="1"/>
      <c r="PII103" s="1"/>
      <c r="PIJ103" s="1"/>
      <c r="PIK103" s="1"/>
      <c r="PIL103" s="1"/>
      <c r="PIM103" s="1"/>
      <c r="PIN103" s="1"/>
      <c r="PIO103" s="1"/>
      <c r="PIP103" s="1"/>
      <c r="PIQ103" s="1"/>
      <c r="PIR103" s="1"/>
      <c r="PIS103" s="1"/>
      <c r="PIT103" s="1"/>
      <c r="PIU103" s="1"/>
      <c r="PIV103" s="1"/>
      <c r="PIW103" s="1"/>
      <c r="PIX103" s="1"/>
      <c r="PIY103" s="1"/>
      <c r="PIZ103" s="1"/>
      <c r="PJA103" s="1"/>
      <c r="PJB103" s="1"/>
      <c r="PJC103" s="1"/>
      <c r="PJD103" s="1"/>
      <c r="PJE103" s="1"/>
      <c r="PJF103" s="1"/>
      <c r="PJG103" s="1"/>
      <c r="PJH103" s="1"/>
      <c r="PJI103" s="1"/>
      <c r="PJJ103" s="1"/>
      <c r="PJK103" s="1"/>
      <c r="PJL103" s="1"/>
      <c r="PJM103" s="1"/>
      <c r="PJN103" s="1"/>
      <c r="PJO103" s="1"/>
      <c r="PJP103" s="1"/>
      <c r="PJQ103" s="1"/>
      <c r="PJR103" s="1"/>
      <c r="PJS103" s="1"/>
      <c r="PJT103" s="1"/>
      <c r="PJU103" s="1"/>
      <c r="PJV103" s="1"/>
      <c r="PJW103" s="1"/>
      <c r="PJX103" s="1"/>
      <c r="PJY103" s="1"/>
      <c r="PJZ103" s="1"/>
      <c r="PKA103" s="1"/>
      <c r="PKB103" s="1"/>
      <c r="PKC103" s="1"/>
      <c r="PKD103" s="1"/>
      <c r="PKE103" s="1"/>
      <c r="PKF103" s="1"/>
      <c r="PKG103" s="1"/>
      <c r="PKH103" s="1"/>
      <c r="PKI103" s="1"/>
      <c r="PKJ103" s="1"/>
      <c r="PKK103" s="1"/>
      <c r="PKL103" s="1"/>
      <c r="PKM103" s="1"/>
      <c r="PKN103" s="1"/>
      <c r="PKO103" s="1"/>
      <c r="PKP103" s="1"/>
      <c r="PKQ103" s="1"/>
      <c r="PKR103" s="1"/>
      <c r="PKS103" s="1"/>
      <c r="PKT103" s="1"/>
      <c r="PKU103" s="1"/>
      <c r="PKV103" s="1"/>
      <c r="PKW103" s="1"/>
      <c r="PKX103" s="1"/>
      <c r="PKY103" s="1"/>
      <c r="PKZ103" s="1"/>
      <c r="PLA103" s="1"/>
      <c r="PLB103" s="1"/>
      <c r="PLC103" s="1"/>
      <c r="PLD103" s="1"/>
      <c r="PLE103" s="1"/>
      <c r="PLF103" s="1"/>
      <c r="PLG103" s="1"/>
      <c r="PLH103" s="1"/>
      <c r="PLI103" s="1"/>
      <c r="PLJ103" s="1"/>
      <c r="PLK103" s="1"/>
      <c r="PLL103" s="1"/>
      <c r="PLM103" s="1"/>
      <c r="PLN103" s="1"/>
      <c r="PLO103" s="1"/>
      <c r="PLP103" s="1"/>
      <c r="PLQ103" s="1"/>
      <c r="PLR103" s="1"/>
      <c r="PLS103" s="1"/>
      <c r="PLT103" s="1"/>
      <c r="PLU103" s="1"/>
      <c r="PLV103" s="1"/>
      <c r="PLW103" s="1"/>
      <c r="PLX103" s="1"/>
      <c r="PLY103" s="1"/>
      <c r="PLZ103" s="1"/>
      <c r="PMA103" s="1"/>
      <c r="PMB103" s="1"/>
      <c r="PMC103" s="1"/>
      <c r="PMD103" s="1"/>
      <c r="PME103" s="1"/>
      <c r="PMF103" s="1"/>
      <c r="PMG103" s="1"/>
      <c r="PMH103" s="1"/>
      <c r="PMI103" s="1"/>
      <c r="PMJ103" s="1"/>
      <c r="PMK103" s="1"/>
      <c r="PML103" s="1"/>
      <c r="PMM103" s="1"/>
      <c r="PMN103" s="1"/>
      <c r="PMO103" s="1"/>
      <c r="PMP103" s="1"/>
      <c r="PMQ103" s="1"/>
      <c r="PMR103" s="1"/>
      <c r="PMS103" s="1"/>
      <c r="PMT103" s="1"/>
      <c r="PMU103" s="1"/>
      <c r="PMV103" s="1"/>
      <c r="PMW103" s="1"/>
      <c r="PMX103" s="1"/>
      <c r="PMY103" s="1"/>
      <c r="PMZ103" s="1"/>
      <c r="PNA103" s="1"/>
      <c r="PNB103" s="1"/>
      <c r="PNC103" s="1"/>
      <c r="PND103" s="1"/>
      <c r="PNE103" s="1"/>
      <c r="PNF103" s="1"/>
      <c r="PNG103" s="1"/>
      <c r="PNH103" s="1"/>
      <c r="PNI103" s="1"/>
      <c r="PNJ103" s="1"/>
      <c r="PNK103" s="1"/>
      <c r="PNL103" s="1"/>
      <c r="PNS103" s="1"/>
      <c r="PNT103" s="1"/>
      <c r="PNU103" s="1"/>
      <c r="PNV103" s="1"/>
      <c r="PNW103" s="1"/>
      <c r="PNX103" s="1"/>
      <c r="PNY103" s="1"/>
      <c r="PNZ103" s="1"/>
      <c r="POA103" s="1"/>
      <c r="POB103" s="1"/>
      <c r="POC103" s="1"/>
      <c r="POD103" s="1"/>
      <c r="POE103" s="1"/>
      <c r="POF103" s="1"/>
      <c r="POG103" s="1"/>
      <c r="POH103" s="1"/>
      <c r="POI103" s="1"/>
      <c r="POJ103" s="1"/>
      <c r="POK103" s="1"/>
      <c r="POL103" s="1"/>
      <c r="POM103" s="1"/>
      <c r="PON103" s="1"/>
      <c r="POO103" s="1"/>
      <c r="POP103" s="1"/>
      <c r="POQ103" s="1"/>
      <c r="POR103" s="1"/>
      <c r="POS103" s="1"/>
      <c r="POT103" s="1"/>
      <c r="POU103" s="1"/>
      <c r="POV103" s="1"/>
      <c r="POW103" s="1"/>
      <c r="POX103" s="1"/>
      <c r="POY103" s="1"/>
      <c r="POZ103" s="1"/>
      <c r="PPA103" s="1"/>
      <c r="PPB103" s="1"/>
      <c r="PPC103" s="1"/>
      <c r="PPD103" s="1"/>
      <c r="PPE103" s="1"/>
      <c r="PPF103" s="1"/>
      <c r="PPG103" s="1"/>
      <c r="PPH103" s="1"/>
      <c r="PPI103" s="1"/>
      <c r="PPJ103" s="1"/>
      <c r="PPK103" s="1"/>
      <c r="PPL103" s="1"/>
      <c r="PPM103" s="1"/>
      <c r="PPN103" s="1"/>
      <c r="PPO103" s="1"/>
      <c r="PPP103" s="1"/>
      <c r="PPQ103" s="1"/>
      <c r="PPR103" s="1"/>
      <c r="PPS103" s="1"/>
      <c r="PPT103" s="1"/>
      <c r="PPU103" s="1"/>
      <c r="PPV103" s="1"/>
      <c r="PPW103" s="1"/>
      <c r="PPX103" s="1"/>
      <c r="PPY103" s="1"/>
      <c r="PPZ103" s="1"/>
      <c r="PQA103" s="1"/>
      <c r="PQB103" s="1"/>
      <c r="PQC103" s="1"/>
      <c r="PQD103" s="1"/>
      <c r="PQE103" s="1"/>
      <c r="PQF103" s="1"/>
      <c r="PQG103" s="1"/>
      <c r="PQH103" s="1"/>
      <c r="PQI103" s="1"/>
      <c r="PQJ103" s="1"/>
      <c r="PQK103" s="1"/>
      <c r="PQL103" s="1"/>
      <c r="PQM103" s="1"/>
      <c r="PQN103" s="1"/>
      <c r="PQO103" s="1"/>
      <c r="PQP103" s="1"/>
      <c r="PQQ103" s="1"/>
      <c r="PQR103" s="1"/>
      <c r="PQS103" s="1"/>
      <c r="PQT103" s="1"/>
      <c r="PQU103" s="1"/>
      <c r="PQV103" s="1"/>
      <c r="PQW103" s="1"/>
      <c r="PQX103" s="1"/>
      <c r="PQY103" s="1"/>
      <c r="PQZ103" s="1"/>
      <c r="PRA103" s="1"/>
      <c r="PRB103" s="1"/>
      <c r="PRC103" s="1"/>
      <c r="PRD103" s="1"/>
      <c r="PRE103" s="1"/>
      <c r="PRF103" s="1"/>
      <c r="PRG103" s="1"/>
      <c r="PRH103" s="1"/>
      <c r="PRI103" s="1"/>
      <c r="PRJ103" s="1"/>
      <c r="PRK103" s="1"/>
      <c r="PRL103" s="1"/>
      <c r="PRM103" s="1"/>
      <c r="PRN103" s="1"/>
      <c r="PRO103" s="1"/>
      <c r="PRP103" s="1"/>
      <c r="PRQ103" s="1"/>
      <c r="PRR103" s="1"/>
      <c r="PRS103" s="1"/>
      <c r="PRT103" s="1"/>
      <c r="PRU103" s="1"/>
      <c r="PRV103" s="1"/>
      <c r="PRW103" s="1"/>
      <c r="PRX103" s="1"/>
      <c r="PRY103" s="1"/>
      <c r="PRZ103" s="1"/>
      <c r="PSA103" s="1"/>
      <c r="PSB103" s="1"/>
      <c r="PSC103" s="1"/>
      <c r="PSD103" s="1"/>
      <c r="PSE103" s="1"/>
      <c r="PSF103" s="1"/>
      <c r="PSG103" s="1"/>
      <c r="PSH103" s="1"/>
      <c r="PSI103" s="1"/>
      <c r="PSJ103" s="1"/>
      <c r="PSK103" s="1"/>
      <c r="PSL103" s="1"/>
      <c r="PSM103" s="1"/>
      <c r="PSN103" s="1"/>
      <c r="PSO103" s="1"/>
      <c r="PSP103" s="1"/>
      <c r="PSQ103" s="1"/>
      <c r="PSR103" s="1"/>
      <c r="PSS103" s="1"/>
      <c r="PST103" s="1"/>
      <c r="PSU103" s="1"/>
      <c r="PSV103" s="1"/>
      <c r="PSW103" s="1"/>
      <c r="PSX103" s="1"/>
      <c r="PSY103" s="1"/>
      <c r="PSZ103" s="1"/>
      <c r="PTA103" s="1"/>
      <c r="PTB103" s="1"/>
      <c r="PTC103" s="1"/>
      <c r="PTD103" s="1"/>
      <c r="PTE103" s="1"/>
      <c r="PTF103" s="1"/>
      <c r="PTG103" s="1"/>
      <c r="PTH103" s="1"/>
      <c r="PTI103" s="1"/>
      <c r="PTJ103" s="1"/>
      <c r="PTK103" s="1"/>
      <c r="PTL103" s="1"/>
      <c r="PTM103" s="1"/>
      <c r="PTN103" s="1"/>
      <c r="PTO103" s="1"/>
      <c r="PTP103" s="1"/>
      <c r="PTQ103" s="1"/>
      <c r="PTR103" s="1"/>
      <c r="PTS103" s="1"/>
      <c r="PTT103" s="1"/>
      <c r="PTU103" s="1"/>
      <c r="PTV103" s="1"/>
      <c r="PTW103" s="1"/>
      <c r="PTX103" s="1"/>
      <c r="PTY103" s="1"/>
      <c r="PTZ103" s="1"/>
      <c r="PUA103" s="1"/>
      <c r="PUB103" s="1"/>
      <c r="PUC103" s="1"/>
      <c r="PUD103" s="1"/>
      <c r="PUE103" s="1"/>
      <c r="PUF103" s="1"/>
      <c r="PUG103" s="1"/>
      <c r="PUH103" s="1"/>
      <c r="PUI103" s="1"/>
      <c r="PUJ103" s="1"/>
      <c r="PUK103" s="1"/>
      <c r="PUL103" s="1"/>
      <c r="PUM103" s="1"/>
      <c r="PUN103" s="1"/>
      <c r="PUO103" s="1"/>
      <c r="PUP103" s="1"/>
      <c r="PUQ103" s="1"/>
      <c r="PUR103" s="1"/>
      <c r="PUS103" s="1"/>
      <c r="PUT103" s="1"/>
      <c r="PUU103" s="1"/>
      <c r="PUV103" s="1"/>
      <c r="PUW103" s="1"/>
      <c r="PUX103" s="1"/>
      <c r="PUY103" s="1"/>
      <c r="PUZ103" s="1"/>
      <c r="PVA103" s="1"/>
      <c r="PVB103" s="1"/>
      <c r="PVC103" s="1"/>
      <c r="PVD103" s="1"/>
      <c r="PVE103" s="1"/>
      <c r="PVF103" s="1"/>
      <c r="PVG103" s="1"/>
      <c r="PVH103" s="1"/>
      <c r="PVI103" s="1"/>
      <c r="PVJ103" s="1"/>
      <c r="PVK103" s="1"/>
      <c r="PVL103" s="1"/>
      <c r="PVM103" s="1"/>
      <c r="PVN103" s="1"/>
      <c r="PVO103" s="1"/>
      <c r="PVP103" s="1"/>
      <c r="PVQ103" s="1"/>
      <c r="PVR103" s="1"/>
      <c r="PVS103" s="1"/>
      <c r="PVT103" s="1"/>
      <c r="PVU103" s="1"/>
      <c r="PVV103" s="1"/>
      <c r="PVW103" s="1"/>
      <c r="PVX103" s="1"/>
      <c r="PVY103" s="1"/>
      <c r="PVZ103" s="1"/>
      <c r="PWA103" s="1"/>
      <c r="PWB103" s="1"/>
      <c r="PWC103" s="1"/>
      <c r="PWD103" s="1"/>
      <c r="PWE103" s="1"/>
      <c r="PWF103" s="1"/>
      <c r="PWG103" s="1"/>
      <c r="PWH103" s="1"/>
      <c r="PWI103" s="1"/>
      <c r="PWJ103" s="1"/>
      <c r="PWK103" s="1"/>
      <c r="PWL103" s="1"/>
      <c r="PWM103" s="1"/>
      <c r="PWN103" s="1"/>
      <c r="PWO103" s="1"/>
      <c r="PWP103" s="1"/>
      <c r="PWQ103" s="1"/>
      <c r="PWR103" s="1"/>
      <c r="PWS103" s="1"/>
      <c r="PWT103" s="1"/>
      <c r="PWU103" s="1"/>
      <c r="PWV103" s="1"/>
      <c r="PWW103" s="1"/>
      <c r="PWX103" s="1"/>
      <c r="PWY103" s="1"/>
      <c r="PWZ103" s="1"/>
      <c r="PXA103" s="1"/>
      <c r="PXB103" s="1"/>
      <c r="PXC103" s="1"/>
      <c r="PXD103" s="1"/>
      <c r="PXE103" s="1"/>
      <c r="PXF103" s="1"/>
      <c r="PXG103" s="1"/>
      <c r="PXH103" s="1"/>
      <c r="PXO103" s="1"/>
      <c r="PXP103" s="1"/>
      <c r="PXQ103" s="1"/>
      <c r="PXR103" s="1"/>
      <c r="PXS103" s="1"/>
      <c r="PXT103" s="1"/>
      <c r="PXU103" s="1"/>
      <c r="PXV103" s="1"/>
      <c r="PXW103" s="1"/>
      <c r="PXX103" s="1"/>
      <c r="PXY103" s="1"/>
      <c r="PXZ103" s="1"/>
      <c r="PYA103" s="1"/>
      <c r="PYB103" s="1"/>
      <c r="PYC103" s="1"/>
      <c r="PYD103" s="1"/>
      <c r="PYE103" s="1"/>
      <c r="PYF103" s="1"/>
      <c r="PYG103" s="1"/>
      <c r="PYH103" s="1"/>
      <c r="PYI103" s="1"/>
      <c r="PYJ103" s="1"/>
      <c r="PYK103" s="1"/>
      <c r="PYL103" s="1"/>
      <c r="PYM103" s="1"/>
      <c r="PYN103" s="1"/>
      <c r="PYO103" s="1"/>
      <c r="PYP103" s="1"/>
      <c r="PYQ103" s="1"/>
      <c r="PYR103" s="1"/>
      <c r="PYS103" s="1"/>
      <c r="PYT103" s="1"/>
      <c r="PYU103" s="1"/>
      <c r="PYV103" s="1"/>
      <c r="PYW103" s="1"/>
      <c r="PYX103" s="1"/>
      <c r="PYY103" s="1"/>
      <c r="PYZ103" s="1"/>
      <c r="PZA103" s="1"/>
      <c r="PZB103" s="1"/>
      <c r="PZC103" s="1"/>
      <c r="PZD103" s="1"/>
      <c r="PZE103" s="1"/>
      <c r="PZF103" s="1"/>
      <c r="PZG103" s="1"/>
      <c r="PZH103" s="1"/>
      <c r="PZI103" s="1"/>
      <c r="PZJ103" s="1"/>
      <c r="PZK103" s="1"/>
      <c r="PZL103" s="1"/>
      <c r="PZM103" s="1"/>
      <c r="PZN103" s="1"/>
      <c r="PZO103" s="1"/>
      <c r="PZP103" s="1"/>
      <c r="PZQ103" s="1"/>
      <c r="PZR103" s="1"/>
      <c r="PZS103" s="1"/>
      <c r="PZT103" s="1"/>
      <c r="PZU103" s="1"/>
      <c r="PZV103" s="1"/>
      <c r="PZW103" s="1"/>
      <c r="PZX103" s="1"/>
      <c r="PZY103" s="1"/>
      <c r="PZZ103" s="1"/>
      <c r="QAA103" s="1"/>
      <c r="QAB103" s="1"/>
      <c r="QAC103" s="1"/>
      <c r="QAD103" s="1"/>
      <c r="QAE103" s="1"/>
      <c r="QAF103" s="1"/>
      <c r="QAG103" s="1"/>
      <c r="QAH103" s="1"/>
      <c r="QAI103" s="1"/>
      <c r="QAJ103" s="1"/>
      <c r="QAK103" s="1"/>
      <c r="QAL103" s="1"/>
      <c r="QAM103" s="1"/>
      <c r="QAN103" s="1"/>
      <c r="QAO103" s="1"/>
      <c r="QAP103" s="1"/>
      <c r="QAQ103" s="1"/>
      <c r="QAR103" s="1"/>
      <c r="QAS103" s="1"/>
      <c r="QAT103" s="1"/>
      <c r="QAU103" s="1"/>
      <c r="QAV103" s="1"/>
      <c r="QAW103" s="1"/>
      <c r="QAX103" s="1"/>
      <c r="QAY103" s="1"/>
      <c r="QAZ103" s="1"/>
      <c r="QBA103" s="1"/>
      <c r="QBB103" s="1"/>
      <c r="QBC103" s="1"/>
      <c r="QBD103" s="1"/>
      <c r="QBE103" s="1"/>
      <c r="QBF103" s="1"/>
      <c r="QBG103" s="1"/>
      <c r="QBH103" s="1"/>
      <c r="QBI103" s="1"/>
      <c r="QBJ103" s="1"/>
      <c r="QBK103" s="1"/>
      <c r="QBL103" s="1"/>
      <c r="QBM103" s="1"/>
      <c r="QBN103" s="1"/>
      <c r="QBO103" s="1"/>
      <c r="QBP103" s="1"/>
      <c r="QBQ103" s="1"/>
      <c r="QBR103" s="1"/>
      <c r="QBS103" s="1"/>
      <c r="QBT103" s="1"/>
      <c r="QBU103" s="1"/>
      <c r="QBV103" s="1"/>
      <c r="QBW103" s="1"/>
      <c r="QBX103" s="1"/>
      <c r="QBY103" s="1"/>
      <c r="QBZ103" s="1"/>
      <c r="QCA103" s="1"/>
      <c r="QCB103" s="1"/>
      <c r="QCC103" s="1"/>
      <c r="QCD103" s="1"/>
      <c r="QCE103" s="1"/>
      <c r="QCF103" s="1"/>
      <c r="QCG103" s="1"/>
      <c r="QCH103" s="1"/>
      <c r="QCI103" s="1"/>
      <c r="QCJ103" s="1"/>
      <c r="QCK103" s="1"/>
      <c r="QCL103" s="1"/>
      <c r="QCM103" s="1"/>
      <c r="QCN103" s="1"/>
      <c r="QCO103" s="1"/>
      <c r="QCP103" s="1"/>
      <c r="QCQ103" s="1"/>
      <c r="QCR103" s="1"/>
      <c r="QCS103" s="1"/>
      <c r="QCT103" s="1"/>
      <c r="QCU103" s="1"/>
      <c r="QCV103" s="1"/>
      <c r="QCW103" s="1"/>
      <c r="QCX103" s="1"/>
      <c r="QCY103" s="1"/>
      <c r="QCZ103" s="1"/>
      <c r="QDA103" s="1"/>
      <c r="QDB103" s="1"/>
      <c r="QDC103" s="1"/>
      <c r="QDD103" s="1"/>
      <c r="QDE103" s="1"/>
      <c r="QDF103" s="1"/>
      <c r="QDG103" s="1"/>
      <c r="QDH103" s="1"/>
      <c r="QDI103" s="1"/>
      <c r="QDJ103" s="1"/>
      <c r="QDK103" s="1"/>
      <c r="QDL103" s="1"/>
      <c r="QDM103" s="1"/>
      <c r="QDN103" s="1"/>
      <c r="QDO103" s="1"/>
      <c r="QDP103" s="1"/>
      <c r="QDQ103" s="1"/>
      <c r="QDR103" s="1"/>
      <c r="QDS103" s="1"/>
      <c r="QDT103" s="1"/>
      <c r="QDU103" s="1"/>
      <c r="QDV103" s="1"/>
      <c r="QDW103" s="1"/>
      <c r="QDX103" s="1"/>
      <c r="QDY103" s="1"/>
      <c r="QDZ103" s="1"/>
      <c r="QEA103" s="1"/>
      <c r="QEB103" s="1"/>
      <c r="QEC103" s="1"/>
      <c r="QED103" s="1"/>
      <c r="QEE103" s="1"/>
      <c r="QEF103" s="1"/>
      <c r="QEG103" s="1"/>
      <c r="QEH103" s="1"/>
      <c r="QEI103" s="1"/>
      <c r="QEJ103" s="1"/>
      <c r="QEK103" s="1"/>
      <c r="QEL103" s="1"/>
      <c r="QEM103" s="1"/>
      <c r="QEN103" s="1"/>
      <c r="QEO103" s="1"/>
      <c r="QEP103" s="1"/>
      <c r="QEQ103" s="1"/>
      <c r="QER103" s="1"/>
      <c r="QES103" s="1"/>
      <c r="QET103" s="1"/>
      <c r="QEU103" s="1"/>
      <c r="QEV103" s="1"/>
      <c r="QEW103" s="1"/>
      <c r="QEX103" s="1"/>
      <c r="QEY103" s="1"/>
      <c r="QEZ103" s="1"/>
      <c r="QFA103" s="1"/>
      <c r="QFB103" s="1"/>
      <c r="QFC103" s="1"/>
      <c r="QFD103" s="1"/>
      <c r="QFE103" s="1"/>
      <c r="QFF103" s="1"/>
      <c r="QFG103" s="1"/>
      <c r="QFH103" s="1"/>
      <c r="QFI103" s="1"/>
      <c r="QFJ103" s="1"/>
      <c r="QFK103" s="1"/>
      <c r="QFL103" s="1"/>
      <c r="QFM103" s="1"/>
      <c r="QFN103" s="1"/>
      <c r="QFO103" s="1"/>
      <c r="QFP103" s="1"/>
      <c r="QFQ103" s="1"/>
      <c r="QFR103" s="1"/>
      <c r="QFS103" s="1"/>
      <c r="QFT103" s="1"/>
      <c r="QFU103" s="1"/>
      <c r="QFV103" s="1"/>
      <c r="QFW103" s="1"/>
      <c r="QFX103" s="1"/>
      <c r="QFY103" s="1"/>
      <c r="QFZ103" s="1"/>
      <c r="QGA103" s="1"/>
      <c r="QGB103" s="1"/>
      <c r="QGC103" s="1"/>
      <c r="QGD103" s="1"/>
      <c r="QGE103" s="1"/>
      <c r="QGF103" s="1"/>
      <c r="QGG103" s="1"/>
      <c r="QGH103" s="1"/>
      <c r="QGI103" s="1"/>
      <c r="QGJ103" s="1"/>
      <c r="QGK103" s="1"/>
      <c r="QGL103" s="1"/>
      <c r="QGM103" s="1"/>
      <c r="QGN103" s="1"/>
      <c r="QGO103" s="1"/>
      <c r="QGP103" s="1"/>
      <c r="QGQ103" s="1"/>
      <c r="QGR103" s="1"/>
      <c r="QGS103" s="1"/>
      <c r="QGT103" s="1"/>
      <c r="QGU103" s="1"/>
      <c r="QGV103" s="1"/>
      <c r="QGW103" s="1"/>
      <c r="QGX103" s="1"/>
      <c r="QGY103" s="1"/>
      <c r="QGZ103" s="1"/>
      <c r="QHA103" s="1"/>
      <c r="QHB103" s="1"/>
      <c r="QHC103" s="1"/>
      <c r="QHD103" s="1"/>
      <c r="QHK103" s="1"/>
      <c r="QHL103" s="1"/>
      <c r="QHM103" s="1"/>
      <c r="QHN103" s="1"/>
      <c r="QHO103" s="1"/>
      <c r="QHP103" s="1"/>
      <c r="QHQ103" s="1"/>
      <c r="QHR103" s="1"/>
      <c r="QHS103" s="1"/>
      <c r="QHT103" s="1"/>
      <c r="QHU103" s="1"/>
      <c r="QHV103" s="1"/>
      <c r="QHW103" s="1"/>
      <c r="QHX103" s="1"/>
      <c r="QHY103" s="1"/>
      <c r="QHZ103" s="1"/>
      <c r="QIA103" s="1"/>
      <c r="QIB103" s="1"/>
      <c r="QIC103" s="1"/>
      <c r="QID103" s="1"/>
      <c r="QIE103" s="1"/>
      <c r="QIF103" s="1"/>
      <c r="QIG103" s="1"/>
      <c r="QIH103" s="1"/>
      <c r="QII103" s="1"/>
      <c r="QIJ103" s="1"/>
      <c r="QIK103" s="1"/>
      <c r="QIL103" s="1"/>
      <c r="QIM103" s="1"/>
      <c r="QIN103" s="1"/>
      <c r="QIO103" s="1"/>
      <c r="QIP103" s="1"/>
      <c r="QIQ103" s="1"/>
      <c r="QIR103" s="1"/>
      <c r="QIS103" s="1"/>
      <c r="QIT103" s="1"/>
      <c r="QIU103" s="1"/>
      <c r="QIV103" s="1"/>
      <c r="QIW103" s="1"/>
      <c r="QIX103" s="1"/>
      <c r="QIY103" s="1"/>
      <c r="QIZ103" s="1"/>
      <c r="QJA103" s="1"/>
      <c r="QJB103" s="1"/>
      <c r="QJC103" s="1"/>
      <c r="QJD103" s="1"/>
      <c r="QJE103" s="1"/>
      <c r="QJF103" s="1"/>
      <c r="QJG103" s="1"/>
      <c r="QJH103" s="1"/>
      <c r="QJI103" s="1"/>
      <c r="QJJ103" s="1"/>
      <c r="QJK103" s="1"/>
      <c r="QJL103" s="1"/>
      <c r="QJM103" s="1"/>
      <c r="QJN103" s="1"/>
      <c r="QJO103" s="1"/>
      <c r="QJP103" s="1"/>
      <c r="QJQ103" s="1"/>
      <c r="QJR103" s="1"/>
      <c r="QJS103" s="1"/>
      <c r="QJT103" s="1"/>
      <c r="QJU103" s="1"/>
      <c r="QJV103" s="1"/>
      <c r="QJW103" s="1"/>
      <c r="QJX103" s="1"/>
      <c r="QJY103" s="1"/>
      <c r="QJZ103" s="1"/>
      <c r="QKA103" s="1"/>
      <c r="QKB103" s="1"/>
      <c r="QKC103" s="1"/>
      <c r="QKD103" s="1"/>
      <c r="QKE103" s="1"/>
      <c r="QKF103" s="1"/>
      <c r="QKG103" s="1"/>
      <c r="QKH103" s="1"/>
      <c r="QKI103" s="1"/>
      <c r="QKJ103" s="1"/>
      <c r="QKK103" s="1"/>
      <c r="QKL103" s="1"/>
      <c r="QKM103" s="1"/>
      <c r="QKN103" s="1"/>
      <c r="QKO103" s="1"/>
      <c r="QKP103" s="1"/>
      <c r="QKQ103" s="1"/>
      <c r="QKR103" s="1"/>
      <c r="QKS103" s="1"/>
      <c r="QKT103" s="1"/>
      <c r="QKU103" s="1"/>
      <c r="QKV103" s="1"/>
      <c r="QKW103" s="1"/>
      <c r="QKX103" s="1"/>
      <c r="QKY103" s="1"/>
      <c r="QKZ103" s="1"/>
      <c r="QLA103" s="1"/>
      <c r="QLB103" s="1"/>
      <c r="QLC103" s="1"/>
      <c r="QLD103" s="1"/>
      <c r="QLE103" s="1"/>
      <c r="QLF103" s="1"/>
      <c r="QLG103" s="1"/>
      <c r="QLH103" s="1"/>
      <c r="QLI103" s="1"/>
      <c r="QLJ103" s="1"/>
      <c r="QLK103" s="1"/>
      <c r="QLL103" s="1"/>
      <c r="QLM103" s="1"/>
      <c r="QLN103" s="1"/>
      <c r="QLO103" s="1"/>
      <c r="QLP103" s="1"/>
      <c r="QLQ103" s="1"/>
      <c r="QLR103" s="1"/>
      <c r="QLS103" s="1"/>
      <c r="QLT103" s="1"/>
      <c r="QLU103" s="1"/>
      <c r="QLV103" s="1"/>
      <c r="QLW103" s="1"/>
      <c r="QLX103" s="1"/>
      <c r="QLY103" s="1"/>
      <c r="QLZ103" s="1"/>
      <c r="QMA103" s="1"/>
      <c r="QMB103" s="1"/>
      <c r="QMC103" s="1"/>
      <c r="QMD103" s="1"/>
      <c r="QME103" s="1"/>
      <c r="QMF103" s="1"/>
      <c r="QMG103" s="1"/>
      <c r="QMH103" s="1"/>
      <c r="QMI103" s="1"/>
      <c r="QMJ103" s="1"/>
      <c r="QMK103" s="1"/>
      <c r="QML103" s="1"/>
      <c r="QMM103" s="1"/>
      <c r="QMN103" s="1"/>
      <c r="QMO103" s="1"/>
      <c r="QMP103" s="1"/>
      <c r="QMQ103" s="1"/>
      <c r="QMR103" s="1"/>
      <c r="QMS103" s="1"/>
      <c r="QMT103" s="1"/>
      <c r="QMU103" s="1"/>
      <c r="QMV103" s="1"/>
      <c r="QMW103" s="1"/>
      <c r="QMX103" s="1"/>
      <c r="QMY103" s="1"/>
      <c r="QMZ103" s="1"/>
      <c r="QNA103" s="1"/>
      <c r="QNB103" s="1"/>
      <c r="QNC103" s="1"/>
      <c r="QND103" s="1"/>
      <c r="QNE103" s="1"/>
      <c r="QNF103" s="1"/>
      <c r="QNG103" s="1"/>
      <c r="QNH103" s="1"/>
      <c r="QNI103" s="1"/>
      <c r="QNJ103" s="1"/>
      <c r="QNK103" s="1"/>
      <c r="QNL103" s="1"/>
      <c r="QNM103" s="1"/>
      <c r="QNN103" s="1"/>
      <c r="QNO103" s="1"/>
      <c r="QNP103" s="1"/>
      <c r="QNQ103" s="1"/>
      <c r="QNR103" s="1"/>
      <c r="QNS103" s="1"/>
      <c r="QNT103" s="1"/>
      <c r="QNU103" s="1"/>
      <c r="QNV103" s="1"/>
      <c r="QNW103" s="1"/>
      <c r="QNX103" s="1"/>
      <c r="QNY103" s="1"/>
      <c r="QNZ103" s="1"/>
      <c r="QOA103" s="1"/>
      <c r="QOB103" s="1"/>
      <c r="QOC103" s="1"/>
      <c r="QOD103" s="1"/>
      <c r="QOE103" s="1"/>
      <c r="QOF103" s="1"/>
      <c r="QOG103" s="1"/>
      <c r="QOH103" s="1"/>
      <c r="QOI103" s="1"/>
      <c r="QOJ103" s="1"/>
      <c r="QOK103" s="1"/>
      <c r="QOL103" s="1"/>
      <c r="QOM103" s="1"/>
      <c r="QON103" s="1"/>
      <c r="QOO103" s="1"/>
      <c r="QOP103" s="1"/>
      <c r="QOQ103" s="1"/>
      <c r="QOR103" s="1"/>
      <c r="QOS103" s="1"/>
      <c r="QOT103" s="1"/>
      <c r="QOU103" s="1"/>
      <c r="QOV103" s="1"/>
      <c r="QOW103" s="1"/>
      <c r="QOX103" s="1"/>
      <c r="QOY103" s="1"/>
      <c r="QOZ103" s="1"/>
      <c r="QPA103" s="1"/>
      <c r="QPB103" s="1"/>
      <c r="QPC103" s="1"/>
      <c r="QPD103" s="1"/>
      <c r="QPE103" s="1"/>
      <c r="QPF103" s="1"/>
      <c r="QPG103" s="1"/>
      <c r="QPH103" s="1"/>
      <c r="QPI103" s="1"/>
      <c r="QPJ103" s="1"/>
      <c r="QPK103" s="1"/>
      <c r="QPL103" s="1"/>
      <c r="QPM103" s="1"/>
      <c r="QPN103" s="1"/>
      <c r="QPO103" s="1"/>
      <c r="QPP103" s="1"/>
      <c r="QPQ103" s="1"/>
      <c r="QPR103" s="1"/>
      <c r="QPS103" s="1"/>
      <c r="QPT103" s="1"/>
      <c r="QPU103" s="1"/>
      <c r="QPV103" s="1"/>
      <c r="QPW103" s="1"/>
      <c r="QPX103" s="1"/>
      <c r="QPY103" s="1"/>
      <c r="QPZ103" s="1"/>
      <c r="QQA103" s="1"/>
      <c r="QQB103" s="1"/>
      <c r="QQC103" s="1"/>
      <c r="QQD103" s="1"/>
      <c r="QQE103" s="1"/>
      <c r="QQF103" s="1"/>
      <c r="QQG103" s="1"/>
      <c r="QQH103" s="1"/>
      <c r="QQI103" s="1"/>
      <c r="QQJ103" s="1"/>
      <c r="QQK103" s="1"/>
      <c r="QQL103" s="1"/>
      <c r="QQM103" s="1"/>
      <c r="QQN103" s="1"/>
      <c r="QQO103" s="1"/>
      <c r="QQP103" s="1"/>
      <c r="QQQ103" s="1"/>
      <c r="QQR103" s="1"/>
      <c r="QQS103" s="1"/>
      <c r="QQT103" s="1"/>
      <c r="QQU103" s="1"/>
      <c r="QQV103" s="1"/>
      <c r="QQW103" s="1"/>
      <c r="QQX103" s="1"/>
      <c r="QQY103" s="1"/>
      <c r="QQZ103" s="1"/>
      <c r="QRG103" s="1"/>
      <c r="QRH103" s="1"/>
      <c r="QRI103" s="1"/>
      <c r="QRJ103" s="1"/>
      <c r="QRK103" s="1"/>
      <c r="QRL103" s="1"/>
      <c r="QRM103" s="1"/>
      <c r="QRN103" s="1"/>
      <c r="QRO103" s="1"/>
      <c r="QRP103" s="1"/>
      <c r="QRQ103" s="1"/>
      <c r="QRR103" s="1"/>
      <c r="QRS103" s="1"/>
      <c r="QRT103" s="1"/>
      <c r="QRU103" s="1"/>
      <c r="QRV103" s="1"/>
      <c r="QRW103" s="1"/>
      <c r="QRX103" s="1"/>
      <c r="QRY103" s="1"/>
      <c r="QRZ103" s="1"/>
      <c r="QSA103" s="1"/>
      <c r="QSB103" s="1"/>
      <c r="QSC103" s="1"/>
      <c r="QSD103" s="1"/>
      <c r="QSE103" s="1"/>
      <c r="QSF103" s="1"/>
      <c r="QSG103" s="1"/>
      <c r="QSH103" s="1"/>
      <c r="QSI103" s="1"/>
      <c r="QSJ103" s="1"/>
      <c r="QSK103" s="1"/>
      <c r="QSL103" s="1"/>
      <c r="QSM103" s="1"/>
      <c r="QSN103" s="1"/>
      <c r="QSO103" s="1"/>
      <c r="QSP103" s="1"/>
      <c r="QSQ103" s="1"/>
      <c r="QSR103" s="1"/>
      <c r="QSS103" s="1"/>
      <c r="QST103" s="1"/>
      <c r="QSU103" s="1"/>
      <c r="QSV103" s="1"/>
      <c r="QSW103" s="1"/>
      <c r="QSX103" s="1"/>
      <c r="QSY103" s="1"/>
      <c r="QSZ103" s="1"/>
      <c r="QTA103" s="1"/>
      <c r="QTB103" s="1"/>
      <c r="QTC103" s="1"/>
      <c r="QTD103" s="1"/>
      <c r="QTE103" s="1"/>
      <c r="QTF103" s="1"/>
      <c r="QTG103" s="1"/>
      <c r="QTH103" s="1"/>
      <c r="QTI103" s="1"/>
      <c r="QTJ103" s="1"/>
      <c r="QTK103" s="1"/>
      <c r="QTL103" s="1"/>
      <c r="QTM103" s="1"/>
      <c r="QTN103" s="1"/>
      <c r="QTO103" s="1"/>
      <c r="QTP103" s="1"/>
      <c r="QTQ103" s="1"/>
      <c r="QTR103" s="1"/>
      <c r="QTS103" s="1"/>
      <c r="QTT103" s="1"/>
      <c r="QTU103" s="1"/>
      <c r="QTV103" s="1"/>
      <c r="QTW103" s="1"/>
      <c r="QTX103" s="1"/>
      <c r="QTY103" s="1"/>
      <c r="QTZ103" s="1"/>
      <c r="QUA103" s="1"/>
      <c r="QUB103" s="1"/>
      <c r="QUC103" s="1"/>
      <c r="QUD103" s="1"/>
      <c r="QUE103" s="1"/>
      <c r="QUF103" s="1"/>
      <c r="QUG103" s="1"/>
      <c r="QUH103" s="1"/>
      <c r="QUI103" s="1"/>
      <c r="QUJ103" s="1"/>
      <c r="QUK103" s="1"/>
      <c r="QUL103" s="1"/>
      <c r="QUM103" s="1"/>
      <c r="QUN103" s="1"/>
      <c r="QUO103" s="1"/>
      <c r="QUP103" s="1"/>
      <c r="QUQ103" s="1"/>
      <c r="QUR103" s="1"/>
      <c r="QUS103" s="1"/>
      <c r="QUT103" s="1"/>
      <c r="QUU103" s="1"/>
      <c r="QUV103" s="1"/>
      <c r="QUW103" s="1"/>
      <c r="QUX103" s="1"/>
      <c r="QUY103" s="1"/>
      <c r="QUZ103" s="1"/>
      <c r="QVA103" s="1"/>
      <c r="QVB103" s="1"/>
      <c r="QVC103" s="1"/>
      <c r="QVD103" s="1"/>
      <c r="QVE103" s="1"/>
      <c r="QVF103" s="1"/>
      <c r="QVG103" s="1"/>
      <c r="QVH103" s="1"/>
      <c r="QVI103" s="1"/>
      <c r="QVJ103" s="1"/>
      <c r="QVK103" s="1"/>
      <c r="QVL103" s="1"/>
      <c r="QVM103" s="1"/>
      <c r="QVN103" s="1"/>
      <c r="QVO103" s="1"/>
      <c r="QVP103" s="1"/>
      <c r="QVQ103" s="1"/>
      <c r="QVR103" s="1"/>
      <c r="QVS103" s="1"/>
      <c r="QVT103" s="1"/>
      <c r="QVU103" s="1"/>
      <c r="QVV103" s="1"/>
      <c r="QVW103" s="1"/>
      <c r="QVX103" s="1"/>
      <c r="QVY103" s="1"/>
      <c r="QVZ103" s="1"/>
      <c r="QWA103" s="1"/>
      <c r="QWB103" s="1"/>
      <c r="QWC103" s="1"/>
      <c r="QWD103" s="1"/>
      <c r="QWE103" s="1"/>
      <c r="QWF103" s="1"/>
      <c r="QWG103" s="1"/>
      <c r="QWH103" s="1"/>
      <c r="QWI103" s="1"/>
      <c r="QWJ103" s="1"/>
      <c r="QWK103" s="1"/>
      <c r="QWL103" s="1"/>
      <c r="QWM103" s="1"/>
      <c r="QWN103" s="1"/>
      <c r="QWO103" s="1"/>
      <c r="QWP103" s="1"/>
      <c r="QWQ103" s="1"/>
      <c r="QWR103" s="1"/>
      <c r="QWS103" s="1"/>
      <c r="QWT103" s="1"/>
      <c r="QWU103" s="1"/>
      <c r="QWV103" s="1"/>
      <c r="QWW103" s="1"/>
      <c r="QWX103" s="1"/>
      <c r="QWY103" s="1"/>
      <c r="QWZ103" s="1"/>
      <c r="QXA103" s="1"/>
      <c r="QXB103" s="1"/>
      <c r="QXC103" s="1"/>
      <c r="QXD103" s="1"/>
      <c r="QXE103" s="1"/>
      <c r="QXF103" s="1"/>
      <c r="QXG103" s="1"/>
      <c r="QXH103" s="1"/>
      <c r="QXI103" s="1"/>
      <c r="QXJ103" s="1"/>
      <c r="QXK103" s="1"/>
      <c r="QXL103" s="1"/>
      <c r="QXM103" s="1"/>
      <c r="QXN103" s="1"/>
      <c r="QXO103" s="1"/>
      <c r="QXP103" s="1"/>
      <c r="QXQ103" s="1"/>
      <c r="QXR103" s="1"/>
      <c r="QXS103" s="1"/>
      <c r="QXT103" s="1"/>
      <c r="QXU103" s="1"/>
      <c r="QXV103" s="1"/>
      <c r="QXW103" s="1"/>
      <c r="QXX103" s="1"/>
      <c r="QXY103" s="1"/>
      <c r="QXZ103" s="1"/>
      <c r="QYA103" s="1"/>
      <c r="QYB103" s="1"/>
      <c r="QYC103" s="1"/>
      <c r="QYD103" s="1"/>
      <c r="QYE103" s="1"/>
      <c r="QYF103" s="1"/>
      <c r="QYG103" s="1"/>
      <c r="QYH103" s="1"/>
      <c r="QYI103" s="1"/>
      <c r="QYJ103" s="1"/>
      <c r="QYK103" s="1"/>
      <c r="QYL103" s="1"/>
      <c r="QYM103" s="1"/>
      <c r="QYN103" s="1"/>
      <c r="QYO103" s="1"/>
      <c r="QYP103" s="1"/>
      <c r="QYQ103" s="1"/>
      <c r="QYR103" s="1"/>
      <c r="QYS103" s="1"/>
      <c r="QYT103" s="1"/>
      <c r="QYU103" s="1"/>
      <c r="QYV103" s="1"/>
      <c r="QYW103" s="1"/>
      <c r="QYX103" s="1"/>
      <c r="QYY103" s="1"/>
      <c r="QYZ103" s="1"/>
      <c r="QZA103" s="1"/>
      <c r="QZB103" s="1"/>
      <c r="QZC103" s="1"/>
      <c r="QZD103" s="1"/>
      <c r="QZE103" s="1"/>
      <c r="QZF103" s="1"/>
      <c r="QZG103" s="1"/>
      <c r="QZH103" s="1"/>
      <c r="QZI103" s="1"/>
      <c r="QZJ103" s="1"/>
      <c r="QZK103" s="1"/>
      <c r="QZL103" s="1"/>
      <c r="QZM103" s="1"/>
      <c r="QZN103" s="1"/>
      <c r="QZO103" s="1"/>
      <c r="QZP103" s="1"/>
      <c r="QZQ103" s="1"/>
      <c r="QZR103" s="1"/>
      <c r="QZS103" s="1"/>
      <c r="QZT103" s="1"/>
      <c r="QZU103" s="1"/>
      <c r="QZV103" s="1"/>
      <c r="QZW103" s="1"/>
      <c r="QZX103" s="1"/>
      <c r="QZY103" s="1"/>
      <c r="QZZ103" s="1"/>
      <c r="RAA103" s="1"/>
      <c r="RAB103" s="1"/>
      <c r="RAC103" s="1"/>
      <c r="RAD103" s="1"/>
      <c r="RAE103" s="1"/>
      <c r="RAF103" s="1"/>
      <c r="RAG103" s="1"/>
      <c r="RAH103" s="1"/>
      <c r="RAI103" s="1"/>
      <c r="RAJ103" s="1"/>
      <c r="RAK103" s="1"/>
      <c r="RAL103" s="1"/>
      <c r="RAM103" s="1"/>
      <c r="RAN103" s="1"/>
      <c r="RAO103" s="1"/>
      <c r="RAP103" s="1"/>
      <c r="RAQ103" s="1"/>
      <c r="RAR103" s="1"/>
      <c r="RAS103" s="1"/>
      <c r="RAT103" s="1"/>
      <c r="RAU103" s="1"/>
      <c r="RAV103" s="1"/>
      <c r="RBC103" s="1"/>
      <c r="RBD103" s="1"/>
      <c r="RBE103" s="1"/>
      <c r="RBF103" s="1"/>
      <c r="RBG103" s="1"/>
      <c r="RBH103" s="1"/>
      <c r="RBI103" s="1"/>
      <c r="RBJ103" s="1"/>
      <c r="RBK103" s="1"/>
      <c r="RBL103" s="1"/>
      <c r="RBM103" s="1"/>
      <c r="RBN103" s="1"/>
      <c r="RBO103" s="1"/>
      <c r="RBP103" s="1"/>
      <c r="RBQ103" s="1"/>
      <c r="RBR103" s="1"/>
      <c r="RBS103" s="1"/>
      <c r="RBT103" s="1"/>
      <c r="RBU103" s="1"/>
      <c r="RBV103" s="1"/>
      <c r="RBW103" s="1"/>
      <c r="RBX103" s="1"/>
      <c r="RBY103" s="1"/>
      <c r="RBZ103" s="1"/>
      <c r="RCA103" s="1"/>
      <c r="RCB103" s="1"/>
      <c r="RCC103" s="1"/>
      <c r="RCD103" s="1"/>
      <c r="RCE103" s="1"/>
      <c r="RCF103" s="1"/>
      <c r="RCG103" s="1"/>
      <c r="RCH103" s="1"/>
      <c r="RCI103" s="1"/>
      <c r="RCJ103" s="1"/>
      <c r="RCK103" s="1"/>
      <c r="RCL103" s="1"/>
      <c r="RCM103" s="1"/>
      <c r="RCN103" s="1"/>
      <c r="RCO103" s="1"/>
      <c r="RCP103" s="1"/>
      <c r="RCQ103" s="1"/>
      <c r="RCR103" s="1"/>
      <c r="RCS103" s="1"/>
      <c r="RCT103" s="1"/>
      <c r="RCU103" s="1"/>
      <c r="RCV103" s="1"/>
      <c r="RCW103" s="1"/>
      <c r="RCX103" s="1"/>
      <c r="RCY103" s="1"/>
      <c r="RCZ103" s="1"/>
      <c r="RDA103" s="1"/>
      <c r="RDB103" s="1"/>
      <c r="RDC103" s="1"/>
      <c r="RDD103" s="1"/>
      <c r="RDE103" s="1"/>
      <c r="RDF103" s="1"/>
      <c r="RDG103" s="1"/>
      <c r="RDH103" s="1"/>
      <c r="RDI103" s="1"/>
      <c r="RDJ103" s="1"/>
      <c r="RDK103" s="1"/>
      <c r="RDL103" s="1"/>
      <c r="RDM103" s="1"/>
      <c r="RDN103" s="1"/>
      <c r="RDO103" s="1"/>
      <c r="RDP103" s="1"/>
      <c r="RDQ103" s="1"/>
      <c r="RDR103" s="1"/>
      <c r="RDS103" s="1"/>
      <c r="RDT103" s="1"/>
      <c r="RDU103" s="1"/>
      <c r="RDV103" s="1"/>
      <c r="RDW103" s="1"/>
      <c r="RDX103" s="1"/>
      <c r="RDY103" s="1"/>
      <c r="RDZ103" s="1"/>
      <c r="REA103" s="1"/>
      <c r="REB103" s="1"/>
      <c r="REC103" s="1"/>
      <c r="RED103" s="1"/>
      <c r="REE103" s="1"/>
      <c r="REF103" s="1"/>
      <c r="REG103" s="1"/>
      <c r="REH103" s="1"/>
      <c r="REI103" s="1"/>
      <c r="REJ103" s="1"/>
      <c r="REK103" s="1"/>
      <c r="REL103" s="1"/>
      <c r="REM103" s="1"/>
      <c r="REN103" s="1"/>
      <c r="REO103" s="1"/>
      <c r="REP103" s="1"/>
      <c r="REQ103" s="1"/>
      <c r="RER103" s="1"/>
      <c r="RES103" s="1"/>
      <c r="RET103" s="1"/>
      <c r="REU103" s="1"/>
      <c r="REV103" s="1"/>
      <c r="REW103" s="1"/>
      <c r="REX103" s="1"/>
      <c r="REY103" s="1"/>
      <c r="REZ103" s="1"/>
      <c r="RFA103" s="1"/>
      <c r="RFB103" s="1"/>
      <c r="RFC103" s="1"/>
      <c r="RFD103" s="1"/>
      <c r="RFE103" s="1"/>
      <c r="RFF103" s="1"/>
      <c r="RFG103" s="1"/>
      <c r="RFH103" s="1"/>
      <c r="RFI103" s="1"/>
      <c r="RFJ103" s="1"/>
      <c r="RFK103" s="1"/>
      <c r="RFL103" s="1"/>
      <c r="RFM103" s="1"/>
      <c r="RFN103" s="1"/>
      <c r="RFO103" s="1"/>
      <c r="RFP103" s="1"/>
      <c r="RFQ103" s="1"/>
      <c r="RFR103" s="1"/>
      <c r="RFS103" s="1"/>
      <c r="RFT103" s="1"/>
      <c r="RFU103" s="1"/>
      <c r="RFV103" s="1"/>
      <c r="RFW103" s="1"/>
      <c r="RFX103" s="1"/>
      <c r="RFY103" s="1"/>
      <c r="RFZ103" s="1"/>
      <c r="RGA103" s="1"/>
      <c r="RGB103" s="1"/>
      <c r="RGC103" s="1"/>
      <c r="RGD103" s="1"/>
      <c r="RGE103" s="1"/>
      <c r="RGF103" s="1"/>
      <c r="RGG103" s="1"/>
      <c r="RGH103" s="1"/>
      <c r="RGI103" s="1"/>
      <c r="RGJ103" s="1"/>
      <c r="RGK103" s="1"/>
      <c r="RGL103" s="1"/>
      <c r="RGM103" s="1"/>
      <c r="RGN103" s="1"/>
      <c r="RGO103" s="1"/>
      <c r="RGP103" s="1"/>
      <c r="RGQ103" s="1"/>
      <c r="RGR103" s="1"/>
      <c r="RGS103" s="1"/>
      <c r="RGT103" s="1"/>
      <c r="RGU103" s="1"/>
      <c r="RGV103" s="1"/>
      <c r="RGW103" s="1"/>
      <c r="RGX103" s="1"/>
      <c r="RGY103" s="1"/>
      <c r="RGZ103" s="1"/>
      <c r="RHA103" s="1"/>
      <c r="RHB103" s="1"/>
      <c r="RHC103" s="1"/>
      <c r="RHD103" s="1"/>
      <c r="RHE103" s="1"/>
      <c r="RHF103" s="1"/>
      <c r="RHG103" s="1"/>
      <c r="RHH103" s="1"/>
      <c r="RHI103" s="1"/>
      <c r="RHJ103" s="1"/>
      <c r="RHK103" s="1"/>
      <c r="RHL103" s="1"/>
      <c r="RHM103" s="1"/>
      <c r="RHN103" s="1"/>
      <c r="RHO103" s="1"/>
      <c r="RHP103" s="1"/>
      <c r="RHQ103" s="1"/>
      <c r="RHR103" s="1"/>
      <c r="RHS103" s="1"/>
      <c r="RHT103" s="1"/>
      <c r="RHU103" s="1"/>
      <c r="RHV103" s="1"/>
      <c r="RHW103" s="1"/>
      <c r="RHX103" s="1"/>
      <c r="RHY103" s="1"/>
      <c r="RHZ103" s="1"/>
      <c r="RIA103" s="1"/>
      <c r="RIB103" s="1"/>
      <c r="RIC103" s="1"/>
      <c r="RID103" s="1"/>
      <c r="RIE103" s="1"/>
      <c r="RIF103" s="1"/>
      <c r="RIG103" s="1"/>
      <c r="RIH103" s="1"/>
      <c r="RII103" s="1"/>
      <c r="RIJ103" s="1"/>
      <c r="RIK103" s="1"/>
      <c r="RIL103" s="1"/>
      <c r="RIM103" s="1"/>
      <c r="RIN103" s="1"/>
      <c r="RIO103" s="1"/>
      <c r="RIP103" s="1"/>
      <c r="RIQ103" s="1"/>
      <c r="RIR103" s="1"/>
      <c r="RIS103" s="1"/>
      <c r="RIT103" s="1"/>
      <c r="RIU103" s="1"/>
      <c r="RIV103" s="1"/>
      <c r="RIW103" s="1"/>
      <c r="RIX103" s="1"/>
      <c r="RIY103" s="1"/>
      <c r="RIZ103" s="1"/>
      <c r="RJA103" s="1"/>
      <c r="RJB103" s="1"/>
      <c r="RJC103" s="1"/>
      <c r="RJD103" s="1"/>
      <c r="RJE103" s="1"/>
      <c r="RJF103" s="1"/>
      <c r="RJG103" s="1"/>
      <c r="RJH103" s="1"/>
      <c r="RJI103" s="1"/>
      <c r="RJJ103" s="1"/>
      <c r="RJK103" s="1"/>
      <c r="RJL103" s="1"/>
      <c r="RJM103" s="1"/>
      <c r="RJN103" s="1"/>
      <c r="RJO103" s="1"/>
      <c r="RJP103" s="1"/>
      <c r="RJQ103" s="1"/>
      <c r="RJR103" s="1"/>
      <c r="RJS103" s="1"/>
      <c r="RJT103" s="1"/>
      <c r="RJU103" s="1"/>
      <c r="RJV103" s="1"/>
      <c r="RJW103" s="1"/>
      <c r="RJX103" s="1"/>
      <c r="RJY103" s="1"/>
      <c r="RJZ103" s="1"/>
      <c r="RKA103" s="1"/>
      <c r="RKB103" s="1"/>
      <c r="RKC103" s="1"/>
      <c r="RKD103" s="1"/>
      <c r="RKE103" s="1"/>
      <c r="RKF103" s="1"/>
      <c r="RKG103" s="1"/>
      <c r="RKH103" s="1"/>
      <c r="RKI103" s="1"/>
      <c r="RKJ103" s="1"/>
      <c r="RKK103" s="1"/>
      <c r="RKL103" s="1"/>
      <c r="RKM103" s="1"/>
      <c r="RKN103" s="1"/>
      <c r="RKO103" s="1"/>
      <c r="RKP103" s="1"/>
      <c r="RKQ103" s="1"/>
      <c r="RKR103" s="1"/>
      <c r="RKY103" s="1"/>
      <c r="RKZ103" s="1"/>
      <c r="RLA103" s="1"/>
      <c r="RLB103" s="1"/>
      <c r="RLC103" s="1"/>
      <c r="RLD103" s="1"/>
      <c r="RLE103" s="1"/>
      <c r="RLF103" s="1"/>
      <c r="RLG103" s="1"/>
      <c r="RLH103" s="1"/>
      <c r="RLI103" s="1"/>
      <c r="RLJ103" s="1"/>
      <c r="RLK103" s="1"/>
      <c r="RLL103" s="1"/>
      <c r="RLM103" s="1"/>
      <c r="RLN103" s="1"/>
      <c r="RLO103" s="1"/>
      <c r="RLP103" s="1"/>
      <c r="RLQ103" s="1"/>
      <c r="RLR103" s="1"/>
      <c r="RLS103" s="1"/>
      <c r="RLT103" s="1"/>
      <c r="RLU103" s="1"/>
      <c r="RLV103" s="1"/>
      <c r="RLW103" s="1"/>
      <c r="RLX103" s="1"/>
      <c r="RLY103" s="1"/>
      <c r="RLZ103" s="1"/>
      <c r="RMA103" s="1"/>
      <c r="RMB103" s="1"/>
      <c r="RMC103" s="1"/>
      <c r="RMD103" s="1"/>
      <c r="RME103" s="1"/>
      <c r="RMF103" s="1"/>
      <c r="RMG103" s="1"/>
      <c r="RMH103" s="1"/>
      <c r="RMI103" s="1"/>
      <c r="RMJ103" s="1"/>
      <c r="RMK103" s="1"/>
      <c r="RML103" s="1"/>
      <c r="RMM103" s="1"/>
      <c r="RMN103" s="1"/>
      <c r="RMO103" s="1"/>
      <c r="RMP103" s="1"/>
      <c r="RMQ103" s="1"/>
      <c r="RMR103" s="1"/>
      <c r="RMS103" s="1"/>
      <c r="RMT103" s="1"/>
      <c r="RMU103" s="1"/>
      <c r="RMV103" s="1"/>
      <c r="RMW103" s="1"/>
      <c r="RMX103" s="1"/>
      <c r="RMY103" s="1"/>
      <c r="RMZ103" s="1"/>
      <c r="RNA103" s="1"/>
      <c r="RNB103" s="1"/>
      <c r="RNC103" s="1"/>
      <c r="RND103" s="1"/>
      <c r="RNE103" s="1"/>
      <c r="RNF103" s="1"/>
      <c r="RNG103" s="1"/>
      <c r="RNH103" s="1"/>
      <c r="RNI103" s="1"/>
      <c r="RNJ103" s="1"/>
      <c r="RNK103" s="1"/>
      <c r="RNL103" s="1"/>
      <c r="RNM103" s="1"/>
      <c r="RNN103" s="1"/>
      <c r="RNO103" s="1"/>
      <c r="RNP103" s="1"/>
      <c r="RNQ103" s="1"/>
      <c r="RNR103" s="1"/>
      <c r="RNS103" s="1"/>
      <c r="RNT103" s="1"/>
      <c r="RNU103" s="1"/>
      <c r="RNV103" s="1"/>
      <c r="RNW103" s="1"/>
      <c r="RNX103" s="1"/>
      <c r="RNY103" s="1"/>
      <c r="RNZ103" s="1"/>
      <c r="ROA103" s="1"/>
      <c r="ROB103" s="1"/>
      <c r="ROC103" s="1"/>
      <c r="ROD103" s="1"/>
      <c r="ROE103" s="1"/>
      <c r="ROF103" s="1"/>
      <c r="ROG103" s="1"/>
      <c r="ROH103" s="1"/>
      <c r="ROI103" s="1"/>
      <c r="ROJ103" s="1"/>
      <c r="ROK103" s="1"/>
      <c r="ROL103" s="1"/>
      <c r="ROM103" s="1"/>
      <c r="RON103" s="1"/>
      <c r="ROO103" s="1"/>
      <c r="ROP103" s="1"/>
      <c r="ROQ103" s="1"/>
      <c r="ROR103" s="1"/>
      <c r="ROS103" s="1"/>
      <c r="ROT103" s="1"/>
      <c r="ROU103" s="1"/>
      <c r="ROV103" s="1"/>
      <c r="ROW103" s="1"/>
      <c r="ROX103" s="1"/>
      <c r="ROY103" s="1"/>
      <c r="ROZ103" s="1"/>
      <c r="RPA103" s="1"/>
      <c r="RPB103" s="1"/>
      <c r="RPC103" s="1"/>
      <c r="RPD103" s="1"/>
      <c r="RPE103" s="1"/>
      <c r="RPF103" s="1"/>
      <c r="RPG103" s="1"/>
      <c r="RPH103" s="1"/>
      <c r="RPI103" s="1"/>
      <c r="RPJ103" s="1"/>
      <c r="RPK103" s="1"/>
      <c r="RPL103" s="1"/>
      <c r="RPM103" s="1"/>
      <c r="RPN103" s="1"/>
      <c r="RPO103" s="1"/>
      <c r="RPP103" s="1"/>
      <c r="RPQ103" s="1"/>
      <c r="RPR103" s="1"/>
      <c r="RPS103" s="1"/>
      <c r="RPT103" s="1"/>
      <c r="RPU103" s="1"/>
      <c r="RPV103" s="1"/>
      <c r="RPW103" s="1"/>
      <c r="RPX103" s="1"/>
      <c r="RPY103" s="1"/>
      <c r="RPZ103" s="1"/>
      <c r="RQA103" s="1"/>
      <c r="RQB103" s="1"/>
      <c r="RQC103" s="1"/>
      <c r="RQD103" s="1"/>
      <c r="RQE103" s="1"/>
      <c r="RQF103" s="1"/>
      <c r="RQG103" s="1"/>
      <c r="RQH103" s="1"/>
      <c r="RQI103" s="1"/>
      <c r="RQJ103" s="1"/>
      <c r="RQK103" s="1"/>
      <c r="RQL103" s="1"/>
      <c r="RQM103" s="1"/>
      <c r="RQN103" s="1"/>
      <c r="RQO103" s="1"/>
      <c r="RQP103" s="1"/>
      <c r="RQQ103" s="1"/>
      <c r="RQR103" s="1"/>
      <c r="RQS103" s="1"/>
      <c r="RQT103" s="1"/>
      <c r="RQU103" s="1"/>
      <c r="RQV103" s="1"/>
      <c r="RQW103" s="1"/>
      <c r="RQX103" s="1"/>
      <c r="RQY103" s="1"/>
      <c r="RQZ103" s="1"/>
      <c r="RRA103" s="1"/>
      <c r="RRB103" s="1"/>
      <c r="RRC103" s="1"/>
      <c r="RRD103" s="1"/>
      <c r="RRE103" s="1"/>
      <c r="RRF103" s="1"/>
      <c r="RRG103" s="1"/>
      <c r="RRH103" s="1"/>
      <c r="RRI103" s="1"/>
      <c r="RRJ103" s="1"/>
      <c r="RRK103" s="1"/>
      <c r="RRL103" s="1"/>
      <c r="RRM103" s="1"/>
      <c r="RRN103" s="1"/>
      <c r="RRO103" s="1"/>
      <c r="RRP103" s="1"/>
      <c r="RRQ103" s="1"/>
      <c r="RRR103" s="1"/>
      <c r="RRS103" s="1"/>
      <c r="RRT103" s="1"/>
      <c r="RRU103" s="1"/>
      <c r="RRV103" s="1"/>
      <c r="RRW103" s="1"/>
      <c r="RRX103" s="1"/>
      <c r="RRY103" s="1"/>
      <c r="RRZ103" s="1"/>
      <c r="RSA103" s="1"/>
      <c r="RSB103" s="1"/>
      <c r="RSC103" s="1"/>
      <c r="RSD103" s="1"/>
      <c r="RSE103" s="1"/>
      <c r="RSF103" s="1"/>
      <c r="RSG103" s="1"/>
      <c r="RSH103" s="1"/>
      <c r="RSI103" s="1"/>
      <c r="RSJ103" s="1"/>
      <c r="RSK103" s="1"/>
      <c r="RSL103" s="1"/>
      <c r="RSM103" s="1"/>
      <c r="RSN103" s="1"/>
      <c r="RSO103" s="1"/>
      <c r="RSP103" s="1"/>
      <c r="RSQ103" s="1"/>
      <c r="RSR103" s="1"/>
      <c r="RSS103" s="1"/>
      <c r="RST103" s="1"/>
      <c r="RSU103" s="1"/>
      <c r="RSV103" s="1"/>
      <c r="RSW103" s="1"/>
      <c r="RSX103" s="1"/>
      <c r="RSY103" s="1"/>
      <c r="RSZ103" s="1"/>
      <c r="RTA103" s="1"/>
      <c r="RTB103" s="1"/>
      <c r="RTC103" s="1"/>
      <c r="RTD103" s="1"/>
      <c r="RTE103" s="1"/>
      <c r="RTF103" s="1"/>
      <c r="RTG103" s="1"/>
      <c r="RTH103" s="1"/>
      <c r="RTI103" s="1"/>
      <c r="RTJ103" s="1"/>
      <c r="RTK103" s="1"/>
      <c r="RTL103" s="1"/>
      <c r="RTM103" s="1"/>
      <c r="RTN103" s="1"/>
      <c r="RTO103" s="1"/>
      <c r="RTP103" s="1"/>
      <c r="RTQ103" s="1"/>
      <c r="RTR103" s="1"/>
      <c r="RTS103" s="1"/>
      <c r="RTT103" s="1"/>
      <c r="RTU103" s="1"/>
      <c r="RTV103" s="1"/>
      <c r="RTW103" s="1"/>
      <c r="RTX103" s="1"/>
      <c r="RTY103" s="1"/>
      <c r="RTZ103" s="1"/>
      <c r="RUA103" s="1"/>
      <c r="RUB103" s="1"/>
      <c r="RUC103" s="1"/>
      <c r="RUD103" s="1"/>
      <c r="RUE103" s="1"/>
      <c r="RUF103" s="1"/>
      <c r="RUG103" s="1"/>
      <c r="RUH103" s="1"/>
      <c r="RUI103" s="1"/>
      <c r="RUJ103" s="1"/>
      <c r="RUK103" s="1"/>
      <c r="RUL103" s="1"/>
      <c r="RUM103" s="1"/>
      <c r="RUN103" s="1"/>
      <c r="RUU103" s="1"/>
      <c r="RUV103" s="1"/>
      <c r="RUW103" s="1"/>
      <c r="RUX103" s="1"/>
      <c r="RUY103" s="1"/>
      <c r="RUZ103" s="1"/>
      <c r="RVA103" s="1"/>
      <c r="RVB103" s="1"/>
      <c r="RVC103" s="1"/>
      <c r="RVD103" s="1"/>
      <c r="RVE103" s="1"/>
      <c r="RVF103" s="1"/>
      <c r="RVG103" s="1"/>
      <c r="RVH103" s="1"/>
      <c r="RVI103" s="1"/>
      <c r="RVJ103" s="1"/>
      <c r="RVK103" s="1"/>
      <c r="RVL103" s="1"/>
      <c r="RVM103" s="1"/>
      <c r="RVN103" s="1"/>
      <c r="RVO103" s="1"/>
      <c r="RVP103" s="1"/>
      <c r="RVQ103" s="1"/>
      <c r="RVR103" s="1"/>
      <c r="RVS103" s="1"/>
      <c r="RVT103" s="1"/>
      <c r="RVU103" s="1"/>
      <c r="RVV103" s="1"/>
      <c r="RVW103" s="1"/>
      <c r="RVX103" s="1"/>
      <c r="RVY103" s="1"/>
      <c r="RVZ103" s="1"/>
      <c r="RWA103" s="1"/>
      <c r="RWB103" s="1"/>
      <c r="RWC103" s="1"/>
      <c r="RWD103" s="1"/>
      <c r="RWE103" s="1"/>
      <c r="RWF103" s="1"/>
      <c r="RWG103" s="1"/>
      <c r="RWH103" s="1"/>
      <c r="RWI103" s="1"/>
      <c r="RWJ103" s="1"/>
      <c r="RWK103" s="1"/>
      <c r="RWL103" s="1"/>
      <c r="RWM103" s="1"/>
      <c r="RWN103" s="1"/>
      <c r="RWO103" s="1"/>
      <c r="RWP103" s="1"/>
      <c r="RWQ103" s="1"/>
      <c r="RWR103" s="1"/>
      <c r="RWS103" s="1"/>
      <c r="RWT103" s="1"/>
      <c r="RWU103" s="1"/>
      <c r="RWV103" s="1"/>
      <c r="RWW103" s="1"/>
      <c r="RWX103" s="1"/>
      <c r="RWY103" s="1"/>
      <c r="RWZ103" s="1"/>
      <c r="RXA103" s="1"/>
      <c r="RXB103" s="1"/>
      <c r="RXC103" s="1"/>
      <c r="RXD103" s="1"/>
      <c r="RXE103" s="1"/>
      <c r="RXF103" s="1"/>
      <c r="RXG103" s="1"/>
      <c r="RXH103" s="1"/>
      <c r="RXI103" s="1"/>
      <c r="RXJ103" s="1"/>
      <c r="RXK103" s="1"/>
      <c r="RXL103" s="1"/>
      <c r="RXM103" s="1"/>
      <c r="RXN103" s="1"/>
      <c r="RXO103" s="1"/>
      <c r="RXP103" s="1"/>
      <c r="RXQ103" s="1"/>
      <c r="RXR103" s="1"/>
      <c r="RXS103" s="1"/>
      <c r="RXT103" s="1"/>
      <c r="RXU103" s="1"/>
      <c r="RXV103" s="1"/>
      <c r="RXW103" s="1"/>
      <c r="RXX103" s="1"/>
      <c r="RXY103" s="1"/>
      <c r="RXZ103" s="1"/>
      <c r="RYA103" s="1"/>
      <c r="RYB103" s="1"/>
      <c r="RYC103" s="1"/>
      <c r="RYD103" s="1"/>
      <c r="RYE103" s="1"/>
      <c r="RYF103" s="1"/>
      <c r="RYG103" s="1"/>
      <c r="RYH103" s="1"/>
      <c r="RYI103" s="1"/>
      <c r="RYJ103" s="1"/>
      <c r="RYK103" s="1"/>
      <c r="RYL103" s="1"/>
      <c r="RYM103" s="1"/>
      <c r="RYN103" s="1"/>
      <c r="RYO103" s="1"/>
      <c r="RYP103" s="1"/>
      <c r="RYQ103" s="1"/>
      <c r="RYR103" s="1"/>
      <c r="RYS103" s="1"/>
      <c r="RYT103" s="1"/>
      <c r="RYU103" s="1"/>
      <c r="RYV103" s="1"/>
      <c r="RYW103" s="1"/>
      <c r="RYX103" s="1"/>
      <c r="RYY103" s="1"/>
      <c r="RYZ103" s="1"/>
      <c r="RZA103" s="1"/>
      <c r="RZB103" s="1"/>
      <c r="RZC103" s="1"/>
      <c r="RZD103" s="1"/>
      <c r="RZE103" s="1"/>
      <c r="RZF103" s="1"/>
      <c r="RZG103" s="1"/>
      <c r="RZH103" s="1"/>
      <c r="RZI103" s="1"/>
      <c r="RZJ103" s="1"/>
      <c r="RZK103" s="1"/>
      <c r="RZL103" s="1"/>
      <c r="RZM103" s="1"/>
      <c r="RZN103" s="1"/>
      <c r="RZO103" s="1"/>
      <c r="RZP103" s="1"/>
      <c r="RZQ103" s="1"/>
      <c r="RZR103" s="1"/>
      <c r="RZS103" s="1"/>
      <c r="RZT103" s="1"/>
      <c r="RZU103" s="1"/>
      <c r="RZV103" s="1"/>
      <c r="RZW103" s="1"/>
      <c r="RZX103" s="1"/>
      <c r="RZY103" s="1"/>
      <c r="RZZ103" s="1"/>
      <c r="SAA103" s="1"/>
      <c r="SAB103" s="1"/>
      <c r="SAC103" s="1"/>
      <c r="SAD103" s="1"/>
      <c r="SAE103" s="1"/>
      <c r="SAF103" s="1"/>
      <c r="SAG103" s="1"/>
      <c r="SAH103" s="1"/>
      <c r="SAI103" s="1"/>
      <c r="SAJ103" s="1"/>
      <c r="SAK103" s="1"/>
      <c r="SAL103" s="1"/>
      <c r="SAM103" s="1"/>
      <c r="SAN103" s="1"/>
      <c r="SAO103" s="1"/>
      <c r="SAP103" s="1"/>
      <c r="SAQ103" s="1"/>
      <c r="SAR103" s="1"/>
      <c r="SAS103" s="1"/>
      <c r="SAT103" s="1"/>
      <c r="SAU103" s="1"/>
      <c r="SAV103" s="1"/>
      <c r="SAW103" s="1"/>
      <c r="SAX103" s="1"/>
      <c r="SAY103" s="1"/>
      <c r="SAZ103" s="1"/>
      <c r="SBA103" s="1"/>
      <c r="SBB103" s="1"/>
      <c r="SBC103" s="1"/>
      <c r="SBD103" s="1"/>
      <c r="SBE103" s="1"/>
      <c r="SBF103" s="1"/>
      <c r="SBG103" s="1"/>
      <c r="SBH103" s="1"/>
      <c r="SBI103" s="1"/>
      <c r="SBJ103" s="1"/>
      <c r="SBK103" s="1"/>
      <c r="SBL103" s="1"/>
      <c r="SBM103" s="1"/>
      <c r="SBN103" s="1"/>
      <c r="SBO103" s="1"/>
      <c r="SBP103" s="1"/>
      <c r="SBQ103" s="1"/>
      <c r="SBR103" s="1"/>
      <c r="SBS103" s="1"/>
      <c r="SBT103" s="1"/>
      <c r="SBU103" s="1"/>
      <c r="SBV103" s="1"/>
      <c r="SBW103" s="1"/>
      <c r="SBX103" s="1"/>
      <c r="SBY103" s="1"/>
      <c r="SBZ103" s="1"/>
      <c r="SCA103" s="1"/>
      <c r="SCB103" s="1"/>
      <c r="SCC103" s="1"/>
      <c r="SCD103" s="1"/>
      <c r="SCE103" s="1"/>
      <c r="SCF103" s="1"/>
      <c r="SCG103" s="1"/>
      <c r="SCH103" s="1"/>
      <c r="SCI103" s="1"/>
      <c r="SCJ103" s="1"/>
      <c r="SCK103" s="1"/>
      <c r="SCL103" s="1"/>
      <c r="SCM103" s="1"/>
      <c r="SCN103" s="1"/>
      <c r="SCO103" s="1"/>
      <c r="SCP103" s="1"/>
      <c r="SCQ103" s="1"/>
      <c r="SCR103" s="1"/>
      <c r="SCS103" s="1"/>
      <c r="SCT103" s="1"/>
      <c r="SCU103" s="1"/>
      <c r="SCV103" s="1"/>
      <c r="SCW103" s="1"/>
      <c r="SCX103" s="1"/>
      <c r="SCY103" s="1"/>
      <c r="SCZ103" s="1"/>
      <c r="SDA103" s="1"/>
      <c r="SDB103" s="1"/>
      <c r="SDC103" s="1"/>
      <c r="SDD103" s="1"/>
      <c r="SDE103" s="1"/>
      <c r="SDF103" s="1"/>
      <c r="SDG103" s="1"/>
      <c r="SDH103" s="1"/>
      <c r="SDI103" s="1"/>
      <c r="SDJ103" s="1"/>
      <c r="SDK103" s="1"/>
      <c r="SDL103" s="1"/>
      <c r="SDM103" s="1"/>
      <c r="SDN103" s="1"/>
      <c r="SDO103" s="1"/>
      <c r="SDP103" s="1"/>
      <c r="SDQ103" s="1"/>
      <c r="SDR103" s="1"/>
      <c r="SDS103" s="1"/>
      <c r="SDT103" s="1"/>
      <c r="SDU103" s="1"/>
      <c r="SDV103" s="1"/>
      <c r="SDW103" s="1"/>
      <c r="SDX103" s="1"/>
      <c r="SDY103" s="1"/>
      <c r="SDZ103" s="1"/>
      <c r="SEA103" s="1"/>
      <c r="SEB103" s="1"/>
      <c r="SEC103" s="1"/>
      <c r="SED103" s="1"/>
      <c r="SEE103" s="1"/>
      <c r="SEF103" s="1"/>
      <c r="SEG103" s="1"/>
      <c r="SEH103" s="1"/>
      <c r="SEI103" s="1"/>
      <c r="SEJ103" s="1"/>
      <c r="SEQ103" s="1"/>
      <c r="SER103" s="1"/>
      <c r="SES103" s="1"/>
      <c r="SET103" s="1"/>
      <c r="SEU103" s="1"/>
      <c r="SEV103" s="1"/>
      <c r="SEW103" s="1"/>
      <c r="SEX103" s="1"/>
      <c r="SEY103" s="1"/>
      <c r="SEZ103" s="1"/>
      <c r="SFA103" s="1"/>
      <c r="SFB103" s="1"/>
      <c r="SFC103" s="1"/>
      <c r="SFD103" s="1"/>
      <c r="SFE103" s="1"/>
      <c r="SFF103" s="1"/>
      <c r="SFG103" s="1"/>
      <c r="SFH103" s="1"/>
      <c r="SFI103" s="1"/>
      <c r="SFJ103" s="1"/>
      <c r="SFK103" s="1"/>
      <c r="SFL103" s="1"/>
      <c r="SFM103" s="1"/>
      <c r="SFN103" s="1"/>
      <c r="SFO103" s="1"/>
      <c r="SFP103" s="1"/>
      <c r="SFQ103" s="1"/>
      <c r="SFR103" s="1"/>
      <c r="SFS103" s="1"/>
      <c r="SFT103" s="1"/>
      <c r="SFU103" s="1"/>
      <c r="SFV103" s="1"/>
      <c r="SFW103" s="1"/>
      <c r="SFX103" s="1"/>
      <c r="SFY103" s="1"/>
      <c r="SFZ103" s="1"/>
      <c r="SGA103" s="1"/>
      <c r="SGB103" s="1"/>
      <c r="SGC103" s="1"/>
      <c r="SGD103" s="1"/>
      <c r="SGE103" s="1"/>
      <c r="SGF103" s="1"/>
      <c r="SGG103" s="1"/>
      <c r="SGH103" s="1"/>
      <c r="SGI103" s="1"/>
      <c r="SGJ103" s="1"/>
      <c r="SGK103" s="1"/>
      <c r="SGL103" s="1"/>
      <c r="SGM103" s="1"/>
      <c r="SGN103" s="1"/>
      <c r="SGO103" s="1"/>
      <c r="SGP103" s="1"/>
      <c r="SGQ103" s="1"/>
      <c r="SGR103" s="1"/>
      <c r="SGS103" s="1"/>
      <c r="SGT103" s="1"/>
      <c r="SGU103" s="1"/>
      <c r="SGV103" s="1"/>
      <c r="SGW103" s="1"/>
      <c r="SGX103" s="1"/>
      <c r="SGY103" s="1"/>
      <c r="SGZ103" s="1"/>
      <c r="SHA103" s="1"/>
      <c r="SHB103" s="1"/>
      <c r="SHC103" s="1"/>
      <c r="SHD103" s="1"/>
      <c r="SHE103" s="1"/>
      <c r="SHF103" s="1"/>
      <c r="SHG103" s="1"/>
      <c r="SHH103" s="1"/>
      <c r="SHI103" s="1"/>
      <c r="SHJ103" s="1"/>
      <c r="SHK103" s="1"/>
      <c r="SHL103" s="1"/>
      <c r="SHM103" s="1"/>
      <c r="SHN103" s="1"/>
      <c r="SHO103" s="1"/>
      <c r="SHP103" s="1"/>
      <c r="SHQ103" s="1"/>
      <c r="SHR103" s="1"/>
      <c r="SHS103" s="1"/>
      <c r="SHT103" s="1"/>
      <c r="SHU103" s="1"/>
      <c r="SHV103" s="1"/>
      <c r="SHW103" s="1"/>
      <c r="SHX103" s="1"/>
      <c r="SHY103" s="1"/>
      <c r="SHZ103" s="1"/>
      <c r="SIA103" s="1"/>
      <c r="SIB103" s="1"/>
      <c r="SIC103" s="1"/>
      <c r="SID103" s="1"/>
      <c r="SIE103" s="1"/>
      <c r="SIF103" s="1"/>
      <c r="SIG103" s="1"/>
      <c r="SIH103" s="1"/>
      <c r="SII103" s="1"/>
      <c r="SIJ103" s="1"/>
      <c r="SIK103" s="1"/>
      <c r="SIL103" s="1"/>
      <c r="SIM103" s="1"/>
      <c r="SIN103" s="1"/>
      <c r="SIO103" s="1"/>
      <c r="SIP103" s="1"/>
      <c r="SIQ103" s="1"/>
      <c r="SIR103" s="1"/>
      <c r="SIS103" s="1"/>
      <c r="SIT103" s="1"/>
      <c r="SIU103" s="1"/>
      <c r="SIV103" s="1"/>
      <c r="SIW103" s="1"/>
      <c r="SIX103" s="1"/>
      <c r="SIY103" s="1"/>
      <c r="SIZ103" s="1"/>
      <c r="SJA103" s="1"/>
      <c r="SJB103" s="1"/>
      <c r="SJC103" s="1"/>
      <c r="SJD103" s="1"/>
      <c r="SJE103" s="1"/>
      <c r="SJF103" s="1"/>
      <c r="SJG103" s="1"/>
      <c r="SJH103" s="1"/>
      <c r="SJI103" s="1"/>
      <c r="SJJ103" s="1"/>
      <c r="SJK103" s="1"/>
      <c r="SJL103" s="1"/>
      <c r="SJM103" s="1"/>
      <c r="SJN103" s="1"/>
      <c r="SJO103" s="1"/>
      <c r="SJP103" s="1"/>
      <c r="SJQ103" s="1"/>
      <c r="SJR103" s="1"/>
      <c r="SJS103" s="1"/>
      <c r="SJT103" s="1"/>
      <c r="SJU103" s="1"/>
      <c r="SJV103" s="1"/>
      <c r="SJW103" s="1"/>
      <c r="SJX103" s="1"/>
      <c r="SJY103" s="1"/>
      <c r="SJZ103" s="1"/>
      <c r="SKA103" s="1"/>
      <c r="SKB103" s="1"/>
      <c r="SKC103" s="1"/>
      <c r="SKD103" s="1"/>
      <c r="SKE103" s="1"/>
      <c r="SKF103" s="1"/>
      <c r="SKG103" s="1"/>
      <c r="SKH103" s="1"/>
      <c r="SKI103" s="1"/>
      <c r="SKJ103" s="1"/>
      <c r="SKK103" s="1"/>
      <c r="SKL103" s="1"/>
      <c r="SKM103" s="1"/>
      <c r="SKN103" s="1"/>
      <c r="SKO103" s="1"/>
      <c r="SKP103" s="1"/>
      <c r="SKQ103" s="1"/>
      <c r="SKR103" s="1"/>
      <c r="SKS103" s="1"/>
      <c r="SKT103" s="1"/>
      <c r="SKU103" s="1"/>
      <c r="SKV103" s="1"/>
      <c r="SKW103" s="1"/>
      <c r="SKX103" s="1"/>
      <c r="SKY103" s="1"/>
      <c r="SKZ103" s="1"/>
      <c r="SLA103" s="1"/>
      <c r="SLB103" s="1"/>
      <c r="SLC103" s="1"/>
      <c r="SLD103" s="1"/>
      <c r="SLE103" s="1"/>
      <c r="SLF103" s="1"/>
      <c r="SLG103" s="1"/>
      <c r="SLH103" s="1"/>
      <c r="SLI103" s="1"/>
      <c r="SLJ103" s="1"/>
      <c r="SLK103" s="1"/>
      <c r="SLL103" s="1"/>
      <c r="SLM103" s="1"/>
      <c r="SLN103" s="1"/>
      <c r="SLO103" s="1"/>
      <c r="SLP103" s="1"/>
      <c r="SLQ103" s="1"/>
      <c r="SLR103" s="1"/>
      <c r="SLS103" s="1"/>
      <c r="SLT103" s="1"/>
      <c r="SLU103" s="1"/>
      <c r="SLV103" s="1"/>
      <c r="SLW103" s="1"/>
      <c r="SLX103" s="1"/>
      <c r="SLY103" s="1"/>
      <c r="SLZ103" s="1"/>
      <c r="SMA103" s="1"/>
      <c r="SMB103" s="1"/>
      <c r="SMC103" s="1"/>
      <c r="SMD103" s="1"/>
      <c r="SME103" s="1"/>
      <c r="SMF103" s="1"/>
      <c r="SMG103" s="1"/>
      <c r="SMH103" s="1"/>
      <c r="SMI103" s="1"/>
      <c r="SMJ103" s="1"/>
      <c r="SMK103" s="1"/>
      <c r="SML103" s="1"/>
      <c r="SMM103" s="1"/>
      <c r="SMN103" s="1"/>
      <c r="SMO103" s="1"/>
      <c r="SMP103" s="1"/>
      <c r="SMQ103" s="1"/>
      <c r="SMR103" s="1"/>
      <c r="SMS103" s="1"/>
      <c r="SMT103" s="1"/>
      <c r="SMU103" s="1"/>
      <c r="SMV103" s="1"/>
      <c r="SMW103" s="1"/>
      <c r="SMX103" s="1"/>
      <c r="SMY103" s="1"/>
      <c r="SMZ103" s="1"/>
      <c r="SNA103" s="1"/>
      <c r="SNB103" s="1"/>
      <c r="SNC103" s="1"/>
      <c r="SND103" s="1"/>
      <c r="SNE103" s="1"/>
      <c r="SNF103" s="1"/>
      <c r="SNG103" s="1"/>
      <c r="SNH103" s="1"/>
      <c r="SNI103" s="1"/>
      <c r="SNJ103" s="1"/>
      <c r="SNK103" s="1"/>
      <c r="SNL103" s="1"/>
      <c r="SNM103" s="1"/>
      <c r="SNN103" s="1"/>
      <c r="SNO103" s="1"/>
      <c r="SNP103" s="1"/>
      <c r="SNQ103" s="1"/>
      <c r="SNR103" s="1"/>
      <c r="SNS103" s="1"/>
      <c r="SNT103" s="1"/>
      <c r="SNU103" s="1"/>
      <c r="SNV103" s="1"/>
      <c r="SNW103" s="1"/>
      <c r="SNX103" s="1"/>
      <c r="SNY103" s="1"/>
      <c r="SNZ103" s="1"/>
      <c r="SOA103" s="1"/>
      <c r="SOB103" s="1"/>
      <c r="SOC103" s="1"/>
      <c r="SOD103" s="1"/>
      <c r="SOE103" s="1"/>
      <c r="SOF103" s="1"/>
      <c r="SOM103" s="1"/>
      <c r="SON103" s="1"/>
      <c r="SOO103" s="1"/>
      <c r="SOP103" s="1"/>
      <c r="SOQ103" s="1"/>
      <c r="SOR103" s="1"/>
      <c r="SOS103" s="1"/>
      <c r="SOT103" s="1"/>
      <c r="SOU103" s="1"/>
      <c r="SOV103" s="1"/>
      <c r="SOW103" s="1"/>
      <c r="SOX103" s="1"/>
      <c r="SOY103" s="1"/>
      <c r="SOZ103" s="1"/>
      <c r="SPA103" s="1"/>
      <c r="SPB103" s="1"/>
      <c r="SPC103" s="1"/>
      <c r="SPD103" s="1"/>
      <c r="SPE103" s="1"/>
      <c r="SPF103" s="1"/>
      <c r="SPG103" s="1"/>
      <c r="SPH103" s="1"/>
      <c r="SPI103" s="1"/>
      <c r="SPJ103" s="1"/>
      <c r="SPK103" s="1"/>
      <c r="SPL103" s="1"/>
      <c r="SPM103" s="1"/>
      <c r="SPN103" s="1"/>
      <c r="SPO103" s="1"/>
      <c r="SPP103" s="1"/>
      <c r="SPQ103" s="1"/>
      <c r="SPR103" s="1"/>
      <c r="SPS103" s="1"/>
      <c r="SPT103" s="1"/>
      <c r="SPU103" s="1"/>
      <c r="SPV103" s="1"/>
      <c r="SPW103" s="1"/>
      <c r="SPX103" s="1"/>
      <c r="SPY103" s="1"/>
      <c r="SPZ103" s="1"/>
      <c r="SQA103" s="1"/>
      <c r="SQB103" s="1"/>
      <c r="SQC103" s="1"/>
      <c r="SQD103" s="1"/>
      <c r="SQE103" s="1"/>
      <c r="SQF103" s="1"/>
      <c r="SQG103" s="1"/>
      <c r="SQH103" s="1"/>
      <c r="SQI103" s="1"/>
      <c r="SQJ103" s="1"/>
      <c r="SQK103" s="1"/>
      <c r="SQL103" s="1"/>
      <c r="SQM103" s="1"/>
      <c r="SQN103" s="1"/>
      <c r="SQO103" s="1"/>
      <c r="SQP103" s="1"/>
      <c r="SQQ103" s="1"/>
      <c r="SQR103" s="1"/>
      <c r="SQS103" s="1"/>
      <c r="SQT103" s="1"/>
      <c r="SQU103" s="1"/>
      <c r="SQV103" s="1"/>
      <c r="SQW103" s="1"/>
      <c r="SQX103" s="1"/>
      <c r="SQY103" s="1"/>
      <c r="SQZ103" s="1"/>
      <c r="SRA103" s="1"/>
      <c r="SRB103" s="1"/>
      <c r="SRC103" s="1"/>
      <c r="SRD103" s="1"/>
      <c r="SRE103" s="1"/>
      <c r="SRF103" s="1"/>
      <c r="SRG103" s="1"/>
      <c r="SRH103" s="1"/>
      <c r="SRI103" s="1"/>
      <c r="SRJ103" s="1"/>
      <c r="SRK103" s="1"/>
      <c r="SRL103" s="1"/>
      <c r="SRM103" s="1"/>
      <c r="SRN103" s="1"/>
      <c r="SRO103" s="1"/>
      <c r="SRP103" s="1"/>
      <c r="SRQ103" s="1"/>
      <c r="SRR103" s="1"/>
      <c r="SRS103" s="1"/>
      <c r="SRT103" s="1"/>
      <c r="SRU103" s="1"/>
      <c r="SRV103" s="1"/>
      <c r="SRW103" s="1"/>
      <c r="SRX103" s="1"/>
      <c r="SRY103" s="1"/>
      <c r="SRZ103" s="1"/>
      <c r="SSA103" s="1"/>
      <c r="SSB103" s="1"/>
      <c r="SSC103" s="1"/>
      <c r="SSD103" s="1"/>
      <c r="SSE103" s="1"/>
      <c r="SSF103" s="1"/>
      <c r="SSG103" s="1"/>
      <c r="SSH103" s="1"/>
      <c r="SSI103" s="1"/>
      <c r="SSJ103" s="1"/>
      <c r="SSK103" s="1"/>
      <c r="SSL103" s="1"/>
      <c r="SSM103" s="1"/>
      <c r="SSN103" s="1"/>
      <c r="SSO103" s="1"/>
      <c r="SSP103" s="1"/>
      <c r="SSQ103" s="1"/>
      <c r="SSR103" s="1"/>
      <c r="SSS103" s="1"/>
      <c r="SST103" s="1"/>
      <c r="SSU103" s="1"/>
      <c r="SSV103" s="1"/>
      <c r="SSW103" s="1"/>
      <c r="SSX103" s="1"/>
      <c r="SSY103" s="1"/>
      <c r="SSZ103" s="1"/>
      <c r="STA103" s="1"/>
      <c r="STB103" s="1"/>
      <c r="STC103" s="1"/>
      <c r="STD103" s="1"/>
      <c r="STE103" s="1"/>
      <c r="STF103" s="1"/>
      <c r="STG103" s="1"/>
      <c r="STH103" s="1"/>
      <c r="STI103" s="1"/>
      <c r="STJ103" s="1"/>
      <c r="STK103" s="1"/>
      <c r="STL103" s="1"/>
      <c r="STM103" s="1"/>
      <c r="STN103" s="1"/>
      <c r="STO103" s="1"/>
      <c r="STP103" s="1"/>
      <c r="STQ103" s="1"/>
      <c r="STR103" s="1"/>
      <c r="STS103" s="1"/>
      <c r="STT103" s="1"/>
      <c r="STU103" s="1"/>
      <c r="STV103" s="1"/>
      <c r="STW103" s="1"/>
      <c r="STX103" s="1"/>
      <c r="STY103" s="1"/>
      <c r="STZ103" s="1"/>
      <c r="SUA103" s="1"/>
      <c r="SUB103" s="1"/>
      <c r="SUC103" s="1"/>
      <c r="SUD103" s="1"/>
      <c r="SUE103" s="1"/>
      <c r="SUF103" s="1"/>
      <c r="SUG103" s="1"/>
      <c r="SUH103" s="1"/>
      <c r="SUI103" s="1"/>
      <c r="SUJ103" s="1"/>
      <c r="SUK103" s="1"/>
      <c r="SUL103" s="1"/>
      <c r="SUM103" s="1"/>
      <c r="SUN103" s="1"/>
      <c r="SUO103" s="1"/>
      <c r="SUP103" s="1"/>
      <c r="SUQ103" s="1"/>
      <c r="SUR103" s="1"/>
      <c r="SUS103" s="1"/>
      <c r="SUT103" s="1"/>
      <c r="SUU103" s="1"/>
      <c r="SUV103" s="1"/>
      <c r="SUW103" s="1"/>
      <c r="SUX103" s="1"/>
      <c r="SUY103" s="1"/>
      <c r="SUZ103" s="1"/>
      <c r="SVA103" s="1"/>
      <c r="SVB103" s="1"/>
      <c r="SVC103" s="1"/>
      <c r="SVD103" s="1"/>
      <c r="SVE103" s="1"/>
      <c r="SVF103" s="1"/>
      <c r="SVG103" s="1"/>
      <c r="SVH103" s="1"/>
      <c r="SVI103" s="1"/>
      <c r="SVJ103" s="1"/>
      <c r="SVK103" s="1"/>
      <c r="SVL103" s="1"/>
      <c r="SVM103" s="1"/>
      <c r="SVN103" s="1"/>
      <c r="SVO103" s="1"/>
      <c r="SVP103" s="1"/>
      <c r="SVQ103" s="1"/>
      <c r="SVR103" s="1"/>
      <c r="SVS103" s="1"/>
      <c r="SVT103" s="1"/>
      <c r="SVU103" s="1"/>
      <c r="SVV103" s="1"/>
      <c r="SVW103" s="1"/>
      <c r="SVX103" s="1"/>
      <c r="SVY103" s="1"/>
      <c r="SVZ103" s="1"/>
      <c r="SWA103" s="1"/>
      <c r="SWB103" s="1"/>
      <c r="SWC103" s="1"/>
      <c r="SWD103" s="1"/>
      <c r="SWE103" s="1"/>
      <c r="SWF103" s="1"/>
      <c r="SWG103" s="1"/>
      <c r="SWH103" s="1"/>
      <c r="SWI103" s="1"/>
      <c r="SWJ103" s="1"/>
      <c r="SWK103" s="1"/>
      <c r="SWL103" s="1"/>
      <c r="SWM103" s="1"/>
      <c r="SWN103" s="1"/>
      <c r="SWO103" s="1"/>
      <c r="SWP103" s="1"/>
      <c r="SWQ103" s="1"/>
      <c r="SWR103" s="1"/>
      <c r="SWS103" s="1"/>
      <c r="SWT103" s="1"/>
      <c r="SWU103" s="1"/>
      <c r="SWV103" s="1"/>
      <c r="SWW103" s="1"/>
      <c r="SWX103" s="1"/>
      <c r="SWY103" s="1"/>
      <c r="SWZ103" s="1"/>
      <c r="SXA103" s="1"/>
      <c r="SXB103" s="1"/>
      <c r="SXC103" s="1"/>
      <c r="SXD103" s="1"/>
      <c r="SXE103" s="1"/>
      <c r="SXF103" s="1"/>
      <c r="SXG103" s="1"/>
      <c r="SXH103" s="1"/>
      <c r="SXI103" s="1"/>
      <c r="SXJ103" s="1"/>
      <c r="SXK103" s="1"/>
      <c r="SXL103" s="1"/>
      <c r="SXM103" s="1"/>
      <c r="SXN103" s="1"/>
      <c r="SXO103" s="1"/>
      <c r="SXP103" s="1"/>
      <c r="SXQ103" s="1"/>
      <c r="SXR103" s="1"/>
      <c r="SXS103" s="1"/>
      <c r="SXT103" s="1"/>
      <c r="SXU103" s="1"/>
      <c r="SXV103" s="1"/>
      <c r="SXW103" s="1"/>
      <c r="SXX103" s="1"/>
      <c r="SXY103" s="1"/>
      <c r="SXZ103" s="1"/>
      <c r="SYA103" s="1"/>
      <c r="SYB103" s="1"/>
      <c r="SYI103" s="1"/>
      <c r="SYJ103" s="1"/>
      <c r="SYK103" s="1"/>
      <c r="SYL103" s="1"/>
      <c r="SYM103" s="1"/>
      <c r="SYN103" s="1"/>
      <c r="SYO103" s="1"/>
      <c r="SYP103" s="1"/>
      <c r="SYQ103" s="1"/>
      <c r="SYR103" s="1"/>
      <c r="SYS103" s="1"/>
      <c r="SYT103" s="1"/>
      <c r="SYU103" s="1"/>
      <c r="SYV103" s="1"/>
      <c r="SYW103" s="1"/>
      <c r="SYX103" s="1"/>
      <c r="SYY103" s="1"/>
      <c r="SYZ103" s="1"/>
      <c r="SZA103" s="1"/>
      <c r="SZB103" s="1"/>
      <c r="SZC103" s="1"/>
      <c r="SZD103" s="1"/>
      <c r="SZE103" s="1"/>
      <c r="SZF103" s="1"/>
      <c r="SZG103" s="1"/>
      <c r="SZH103" s="1"/>
      <c r="SZI103" s="1"/>
      <c r="SZJ103" s="1"/>
      <c r="SZK103" s="1"/>
      <c r="SZL103" s="1"/>
      <c r="SZM103" s="1"/>
      <c r="SZN103" s="1"/>
      <c r="SZO103" s="1"/>
      <c r="SZP103" s="1"/>
      <c r="SZQ103" s="1"/>
      <c r="SZR103" s="1"/>
      <c r="SZS103" s="1"/>
      <c r="SZT103" s="1"/>
      <c r="SZU103" s="1"/>
      <c r="SZV103" s="1"/>
      <c r="SZW103" s="1"/>
      <c r="SZX103" s="1"/>
      <c r="SZY103" s="1"/>
      <c r="SZZ103" s="1"/>
      <c r="TAA103" s="1"/>
      <c r="TAB103" s="1"/>
      <c r="TAC103" s="1"/>
      <c r="TAD103" s="1"/>
      <c r="TAE103" s="1"/>
      <c r="TAF103" s="1"/>
      <c r="TAG103" s="1"/>
      <c r="TAH103" s="1"/>
      <c r="TAI103" s="1"/>
      <c r="TAJ103" s="1"/>
      <c r="TAK103" s="1"/>
      <c r="TAL103" s="1"/>
      <c r="TAM103" s="1"/>
      <c r="TAN103" s="1"/>
      <c r="TAO103" s="1"/>
      <c r="TAP103" s="1"/>
      <c r="TAQ103" s="1"/>
      <c r="TAR103" s="1"/>
      <c r="TAS103" s="1"/>
      <c r="TAT103" s="1"/>
      <c r="TAU103" s="1"/>
      <c r="TAV103" s="1"/>
      <c r="TAW103" s="1"/>
      <c r="TAX103" s="1"/>
      <c r="TAY103" s="1"/>
      <c r="TAZ103" s="1"/>
      <c r="TBA103" s="1"/>
      <c r="TBB103" s="1"/>
      <c r="TBC103" s="1"/>
      <c r="TBD103" s="1"/>
      <c r="TBE103" s="1"/>
      <c r="TBF103" s="1"/>
      <c r="TBG103" s="1"/>
      <c r="TBH103" s="1"/>
      <c r="TBI103" s="1"/>
      <c r="TBJ103" s="1"/>
      <c r="TBK103" s="1"/>
      <c r="TBL103" s="1"/>
      <c r="TBM103" s="1"/>
      <c r="TBN103" s="1"/>
      <c r="TBO103" s="1"/>
      <c r="TBP103" s="1"/>
      <c r="TBQ103" s="1"/>
      <c r="TBR103" s="1"/>
      <c r="TBS103" s="1"/>
      <c r="TBT103" s="1"/>
      <c r="TBU103" s="1"/>
      <c r="TBV103" s="1"/>
      <c r="TBW103" s="1"/>
      <c r="TBX103" s="1"/>
      <c r="TBY103" s="1"/>
      <c r="TBZ103" s="1"/>
      <c r="TCA103" s="1"/>
      <c r="TCB103" s="1"/>
      <c r="TCC103" s="1"/>
      <c r="TCD103" s="1"/>
      <c r="TCE103" s="1"/>
      <c r="TCF103" s="1"/>
      <c r="TCG103" s="1"/>
      <c r="TCH103" s="1"/>
      <c r="TCI103" s="1"/>
      <c r="TCJ103" s="1"/>
      <c r="TCK103" s="1"/>
      <c r="TCL103" s="1"/>
      <c r="TCM103" s="1"/>
      <c r="TCN103" s="1"/>
      <c r="TCO103" s="1"/>
      <c r="TCP103" s="1"/>
      <c r="TCQ103" s="1"/>
      <c r="TCR103" s="1"/>
      <c r="TCS103" s="1"/>
      <c r="TCT103" s="1"/>
      <c r="TCU103" s="1"/>
      <c r="TCV103" s="1"/>
      <c r="TCW103" s="1"/>
      <c r="TCX103" s="1"/>
      <c r="TCY103" s="1"/>
      <c r="TCZ103" s="1"/>
      <c r="TDA103" s="1"/>
      <c r="TDB103" s="1"/>
      <c r="TDC103" s="1"/>
      <c r="TDD103" s="1"/>
      <c r="TDE103" s="1"/>
      <c r="TDF103" s="1"/>
      <c r="TDG103" s="1"/>
      <c r="TDH103" s="1"/>
      <c r="TDI103" s="1"/>
      <c r="TDJ103" s="1"/>
      <c r="TDK103" s="1"/>
      <c r="TDL103" s="1"/>
      <c r="TDM103" s="1"/>
      <c r="TDN103" s="1"/>
      <c r="TDO103" s="1"/>
      <c r="TDP103" s="1"/>
      <c r="TDQ103" s="1"/>
      <c r="TDR103" s="1"/>
      <c r="TDS103" s="1"/>
      <c r="TDT103" s="1"/>
      <c r="TDU103" s="1"/>
      <c r="TDV103" s="1"/>
      <c r="TDW103" s="1"/>
      <c r="TDX103" s="1"/>
      <c r="TDY103" s="1"/>
      <c r="TDZ103" s="1"/>
      <c r="TEA103" s="1"/>
      <c r="TEB103" s="1"/>
      <c r="TEC103" s="1"/>
      <c r="TED103" s="1"/>
      <c r="TEE103" s="1"/>
      <c r="TEF103" s="1"/>
      <c r="TEG103" s="1"/>
      <c r="TEH103" s="1"/>
      <c r="TEI103" s="1"/>
      <c r="TEJ103" s="1"/>
      <c r="TEK103" s="1"/>
      <c r="TEL103" s="1"/>
      <c r="TEM103" s="1"/>
      <c r="TEN103" s="1"/>
      <c r="TEO103" s="1"/>
      <c r="TEP103" s="1"/>
      <c r="TEQ103" s="1"/>
      <c r="TER103" s="1"/>
      <c r="TES103" s="1"/>
      <c r="TET103" s="1"/>
      <c r="TEU103" s="1"/>
      <c r="TEV103" s="1"/>
      <c r="TEW103" s="1"/>
      <c r="TEX103" s="1"/>
      <c r="TEY103" s="1"/>
      <c r="TEZ103" s="1"/>
      <c r="TFA103" s="1"/>
      <c r="TFB103" s="1"/>
      <c r="TFC103" s="1"/>
      <c r="TFD103" s="1"/>
      <c r="TFE103" s="1"/>
      <c r="TFF103" s="1"/>
      <c r="TFG103" s="1"/>
      <c r="TFH103" s="1"/>
      <c r="TFI103" s="1"/>
      <c r="TFJ103" s="1"/>
      <c r="TFK103" s="1"/>
      <c r="TFL103" s="1"/>
      <c r="TFM103" s="1"/>
      <c r="TFN103" s="1"/>
      <c r="TFO103" s="1"/>
      <c r="TFP103" s="1"/>
      <c r="TFQ103" s="1"/>
      <c r="TFR103" s="1"/>
      <c r="TFS103" s="1"/>
      <c r="TFT103" s="1"/>
      <c r="TFU103" s="1"/>
      <c r="TFV103" s="1"/>
      <c r="TFW103" s="1"/>
      <c r="TFX103" s="1"/>
      <c r="TFY103" s="1"/>
      <c r="TFZ103" s="1"/>
      <c r="TGA103" s="1"/>
      <c r="TGB103" s="1"/>
      <c r="TGC103" s="1"/>
      <c r="TGD103" s="1"/>
      <c r="TGE103" s="1"/>
      <c r="TGF103" s="1"/>
      <c r="TGG103" s="1"/>
      <c r="TGH103" s="1"/>
      <c r="TGI103" s="1"/>
      <c r="TGJ103" s="1"/>
      <c r="TGK103" s="1"/>
      <c r="TGL103" s="1"/>
      <c r="TGM103" s="1"/>
      <c r="TGN103" s="1"/>
      <c r="TGO103" s="1"/>
      <c r="TGP103" s="1"/>
      <c r="TGQ103" s="1"/>
      <c r="TGR103" s="1"/>
      <c r="TGS103" s="1"/>
      <c r="TGT103" s="1"/>
      <c r="TGU103" s="1"/>
      <c r="TGV103" s="1"/>
      <c r="TGW103" s="1"/>
      <c r="TGX103" s="1"/>
      <c r="TGY103" s="1"/>
      <c r="TGZ103" s="1"/>
      <c r="THA103" s="1"/>
      <c r="THB103" s="1"/>
      <c r="THC103" s="1"/>
      <c r="THD103" s="1"/>
      <c r="THE103" s="1"/>
      <c r="THF103" s="1"/>
      <c r="THG103" s="1"/>
      <c r="THH103" s="1"/>
      <c r="THI103" s="1"/>
      <c r="THJ103" s="1"/>
      <c r="THK103" s="1"/>
      <c r="THL103" s="1"/>
      <c r="THM103" s="1"/>
      <c r="THN103" s="1"/>
      <c r="THO103" s="1"/>
      <c r="THP103" s="1"/>
      <c r="THQ103" s="1"/>
      <c r="THR103" s="1"/>
      <c r="THS103" s="1"/>
      <c r="THT103" s="1"/>
      <c r="THU103" s="1"/>
      <c r="THV103" s="1"/>
      <c r="THW103" s="1"/>
      <c r="THX103" s="1"/>
      <c r="TIE103" s="1"/>
      <c r="TIF103" s="1"/>
      <c r="TIG103" s="1"/>
      <c r="TIH103" s="1"/>
      <c r="TII103" s="1"/>
      <c r="TIJ103" s="1"/>
      <c r="TIK103" s="1"/>
      <c r="TIL103" s="1"/>
      <c r="TIM103" s="1"/>
      <c r="TIN103" s="1"/>
      <c r="TIO103" s="1"/>
      <c r="TIP103" s="1"/>
      <c r="TIQ103" s="1"/>
      <c r="TIR103" s="1"/>
      <c r="TIS103" s="1"/>
      <c r="TIT103" s="1"/>
      <c r="TIU103" s="1"/>
      <c r="TIV103" s="1"/>
      <c r="TIW103" s="1"/>
      <c r="TIX103" s="1"/>
      <c r="TIY103" s="1"/>
      <c r="TIZ103" s="1"/>
      <c r="TJA103" s="1"/>
      <c r="TJB103" s="1"/>
      <c r="TJC103" s="1"/>
      <c r="TJD103" s="1"/>
      <c r="TJE103" s="1"/>
      <c r="TJF103" s="1"/>
      <c r="TJG103" s="1"/>
      <c r="TJH103" s="1"/>
      <c r="TJI103" s="1"/>
      <c r="TJJ103" s="1"/>
      <c r="TJK103" s="1"/>
      <c r="TJL103" s="1"/>
      <c r="TJM103" s="1"/>
      <c r="TJN103" s="1"/>
      <c r="TJO103" s="1"/>
      <c r="TJP103" s="1"/>
      <c r="TJQ103" s="1"/>
      <c r="TJR103" s="1"/>
      <c r="TJS103" s="1"/>
      <c r="TJT103" s="1"/>
      <c r="TJU103" s="1"/>
      <c r="TJV103" s="1"/>
      <c r="TJW103" s="1"/>
      <c r="TJX103" s="1"/>
      <c r="TJY103" s="1"/>
      <c r="TJZ103" s="1"/>
      <c r="TKA103" s="1"/>
      <c r="TKB103" s="1"/>
      <c r="TKC103" s="1"/>
      <c r="TKD103" s="1"/>
      <c r="TKE103" s="1"/>
      <c r="TKF103" s="1"/>
      <c r="TKG103" s="1"/>
      <c r="TKH103" s="1"/>
      <c r="TKI103" s="1"/>
      <c r="TKJ103" s="1"/>
      <c r="TKK103" s="1"/>
      <c r="TKL103" s="1"/>
      <c r="TKM103" s="1"/>
      <c r="TKN103" s="1"/>
      <c r="TKO103" s="1"/>
      <c r="TKP103" s="1"/>
      <c r="TKQ103" s="1"/>
      <c r="TKR103" s="1"/>
      <c r="TKS103" s="1"/>
      <c r="TKT103" s="1"/>
      <c r="TKU103" s="1"/>
      <c r="TKV103" s="1"/>
      <c r="TKW103" s="1"/>
      <c r="TKX103" s="1"/>
      <c r="TKY103" s="1"/>
      <c r="TKZ103" s="1"/>
      <c r="TLA103" s="1"/>
      <c r="TLB103" s="1"/>
      <c r="TLC103" s="1"/>
      <c r="TLD103" s="1"/>
      <c r="TLE103" s="1"/>
      <c r="TLF103" s="1"/>
      <c r="TLG103" s="1"/>
      <c r="TLH103" s="1"/>
      <c r="TLI103" s="1"/>
      <c r="TLJ103" s="1"/>
      <c r="TLK103" s="1"/>
      <c r="TLL103" s="1"/>
      <c r="TLM103" s="1"/>
      <c r="TLN103" s="1"/>
      <c r="TLO103" s="1"/>
      <c r="TLP103" s="1"/>
      <c r="TLQ103" s="1"/>
      <c r="TLR103" s="1"/>
      <c r="TLS103" s="1"/>
      <c r="TLT103" s="1"/>
      <c r="TLU103" s="1"/>
      <c r="TLV103" s="1"/>
      <c r="TLW103" s="1"/>
      <c r="TLX103" s="1"/>
      <c r="TLY103" s="1"/>
      <c r="TLZ103" s="1"/>
      <c r="TMA103" s="1"/>
      <c r="TMB103" s="1"/>
      <c r="TMC103" s="1"/>
      <c r="TMD103" s="1"/>
      <c r="TME103" s="1"/>
      <c r="TMF103" s="1"/>
      <c r="TMG103" s="1"/>
      <c r="TMH103" s="1"/>
      <c r="TMI103" s="1"/>
      <c r="TMJ103" s="1"/>
      <c r="TMK103" s="1"/>
      <c r="TML103" s="1"/>
      <c r="TMM103" s="1"/>
      <c r="TMN103" s="1"/>
      <c r="TMO103" s="1"/>
      <c r="TMP103" s="1"/>
      <c r="TMQ103" s="1"/>
      <c r="TMR103" s="1"/>
      <c r="TMS103" s="1"/>
      <c r="TMT103" s="1"/>
      <c r="TMU103" s="1"/>
      <c r="TMV103" s="1"/>
      <c r="TMW103" s="1"/>
      <c r="TMX103" s="1"/>
      <c r="TMY103" s="1"/>
      <c r="TMZ103" s="1"/>
      <c r="TNA103" s="1"/>
      <c r="TNB103" s="1"/>
      <c r="TNC103" s="1"/>
      <c r="TND103" s="1"/>
      <c r="TNE103" s="1"/>
      <c r="TNF103" s="1"/>
      <c r="TNG103" s="1"/>
      <c r="TNH103" s="1"/>
      <c r="TNI103" s="1"/>
      <c r="TNJ103" s="1"/>
      <c r="TNK103" s="1"/>
      <c r="TNL103" s="1"/>
      <c r="TNM103" s="1"/>
      <c r="TNN103" s="1"/>
      <c r="TNO103" s="1"/>
      <c r="TNP103" s="1"/>
      <c r="TNQ103" s="1"/>
      <c r="TNR103" s="1"/>
      <c r="TNS103" s="1"/>
      <c r="TNT103" s="1"/>
      <c r="TNU103" s="1"/>
      <c r="TNV103" s="1"/>
      <c r="TNW103" s="1"/>
      <c r="TNX103" s="1"/>
      <c r="TNY103" s="1"/>
      <c r="TNZ103" s="1"/>
      <c r="TOA103" s="1"/>
      <c r="TOB103" s="1"/>
      <c r="TOC103" s="1"/>
      <c r="TOD103" s="1"/>
      <c r="TOE103" s="1"/>
      <c r="TOF103" s="1"/>
      <c r="TOG103" s="1"/>
      <c r="TOH103" s="1"/>
      <c r="TOI103" s="1"/>
      <c r="TOJ103" s="1"/>
      <c r="TOK103" s="1"/>
      <c r="TOL103" s="1"/>
      <c r="TOM103" s="1"/>
      <c r="TON103" s="1"/>
      <c r="TOO103" s="1"/>
      <c r="TOP103" s="1"/>
      <c r="TOQ103" s="1"/>
      <c r="TOR103" s="1"/>
      <c r="TOS103" s="1"/>
      <c r="TOT103" s="1"/>
      <c r="TOU103" s="1"/>
      <c r="TOV103" s="1"/>
      <c r="TOW103" s="1"/>
      <c r="TOX103" s="1"/>
      <c r="TOY103" s="1"/>
      <c r="TOZ103" s="1"/>
      <c r="TPA103" s="1"/>
      <c r="TPB103" s="1"/>
      <c r="TPC103" s="1"/>
      <c r="TPD103" s="1"/>
      <c r="TPE103" s="1"/>
      <c r="TPF103" s="1"/>
      <c r="TPG103" s="1"/>
      <c r="TPH103" s="1"/>
      <c r="TPI103" s="1"/>
      <c r="TPJ103" s="1"/>
      <c r="TPK103" s="1"/>
      <c r="TPL103" s="1"/>
      <c r="TPM103" s="1"/>
      <c r="TPN103" s="1"/>
      <c r="TPO103" s="1"/>
      <c r="TPP103" s="1"/>
      <c r="TPQ103" s="1"/>
      <c r="TPR103" s="1"/>
      <c r="TPS103" s="1"/>
      <c r="TPT103" s="1"/>
      <c r="TPU103" s="1"/>
      <c r="TPV103" s="1"/>
      <c r="TPW103" s="1"/>
      <c r="TPX103" s="1"/>
      <c r="TPY103" s="1"/>
      <c r="TPZ103" s="1"/>
      <c r="TQA103" s="1"/>
      <c r="TQB103" s="1"/>
      <c r="TQC103" s="1"/>
      <c r="TQD103" s="1"/>
      <c r="TQE103" s="1"/>
      <c r="TQF103" s="1"/>
      <c r="TQG103" s="1"/>
      <c r="TQH103" s="1"/>
      <c r="TQI103" s="1"/>
      <c r="TQJ103" s="1"/>
      <c r="TQK103" s="1"/>
      <c r="TQL103" s="1"/>
      <c r="TQM103" s="1"/>
      <c r="TQN103" s="1"/>
      <c r="TQO103" s="1"/>
      <c r="TQP103" s="1"/>
      <c r="TQQ103" s="1"/>
      <c r="TQR103" s="1"/>
      <c r="TQS103" s="1"/>
      <c r="TQT103" s="1"/>
      <c r="TQU103" s="1"/>
      <c r="TQV103" s="1"/>
      <c r="TQW103" s="1"/>
      <c r="TQX103" s="1"/>
      <c r="TQY103" s="1"/>
      <c r="TQZ103" s="1"/>
      <c r="TRA103" s="1"/>
      <c r="TRB103" s="1"/>
      <c r="TRC103" s="1"/>
      <c r="TRD103" s="1"/>
      <c r="TRE103" s="1"/>
      <c r="TRF103" s="1"/>
      <c r="TRG103" s="1"/>
      <c r="TRH103" s="1"/>
      <c r="TRI103" s="1"/>
      <c r="TRJ103" s="1"/>
      <c r="TRK103" s="1"/>
      <c r="TRL103" s="1"/>
      <c r="TRM103" s="1"/>
      <c r="TRN103" s="1"/>
      <c r="TRO103" s="1"/>
      <c r="TRP103" s="1"/>
      <c r="TRQ103" s="1"/>
      <c r="TRR103" s="1"/>
      <c r="TRS103" s="1"/>
      <c r="TRT103" s="1"/>
      <c r="TSA103" s="1"/>
      <c r="TSB103" s="1"/>
      <c r="TSC103" s="1"/>
      <c r="TSD103" s="1"/>
      <c r="TSE103" s="1"/>
      <c r="TSF103" s="1"/>
      <c r="TSG103" s="1"/>
      <c r="TSH103" s="1"/>
      <c r="TSI103" s="1"/>
      <c r="TSJ103" s="1"/>
      <c r="TSK103" s="1"/>
      <c r="TSL103" s="1"/>
      <c r="TSM103" s="1"/>
      <c r="TSN103" s="1"/>
      <c r="TSO103" s="1"/>
      <c r="TSP103" s="1"/>
      <c r="TSQ103" s="1"/>
      <c r="TSR103" s="1"/>
      <c r="TSS103" s="1"/>
      <c r="TST103" s="1"/>
      <c r="TSU103" s="1"/>
      <c r="TSV103" s="1"/>
      <c r="TSW103" s="1"/>
      <c r="TSX103" s="1"/>
      <c r="TSY103" s="1"/>
      <c r="TSZ103" s="1"/>
      <c r="TTA103" s="1"/>
      <c r="TTB103" s="1"/>
      <c r="TTC103" s="1"/>
      <c r="TTD103" s="1"/>
      <c r="TTE103" s="1"/>
      <c r="TTF103" s="1"/>
      <c r="TTG103" s="1"/>
      <c r="TTH103" s="1"/>
      <c r="TTI103" s="1"/>
      <c r="TTJ103" s="1"/>
      <c r="TTK103" s="1"/>
      <c r="TTL103" s="1"/>
      <c r="TTM103" s="1"/>
      <c r="TTN103" s="1"/>
      <c r="TTO103" s="1"/>
      <c r="TTP103" s="1"/>
      <c r="TTQ103" s="1"/>
      <c r="TTR103" s="1"/>
      <c r="TTS103" s="1"/>
      <c r="TTT103" s="1"/>
      <c r="TTU103" s="1"/>
      <c r="TTV103" s="1"/>
      <c r="TTW103" s="1"/>
      <c r="TTX103" s="1"/>
      <c r="TTY103" s="1"/>
      <c r="TTZ103" s="1"/>
      <c r="TUA103" s="1"/>
      <c r="TUB103" s="1"/>
      <c r="TUC103" s="1"/>
      <c r="TUD103" s="1"/>
      <c r="TUE103" s="1"/>
      <c r="TUF103" s="1"/>
      <c r="TUG103" s="1"/>
      <c r="TUH103" s="1"/>
      <c r="TUI103" s="1"/>
      <c r="TUJ103" s="1"/>
      <c r="TUK103" s="1"/>
      <c r="TUL103" s="1"/>
      <c r="TUM103" s="1"/>
      <c r="TUN103" s="1"/>
      <c r="TUO103" s="1"/>
      <c r="TUP103" s="1"/>
      <c r="TUQ103" s="1"/>
      <c r="TUR103" s="1"/>
      <c r="TUS103" s="1"/>
      <c r="TUT103" s="1"/>
      <c r="TUU103" s="1"/>
      <c r="TUV103" s="1"/>
      <c r="TUW103" s="1"/>
      <c r="TUX103" s="1"/>
      <c r="TUY103" s="1"/>
      <c r="TUZ103" s="1"/>
      <c r="TVA103" s="1"/>
      <c r="TVB103" s="1"/>
      <c r="TVC103" s="1"/>
      <c r="TVD103" s="1"/>
      <c r="TVE103" s="1"/>
      <c r="TVF103" s="1"/>
      <c r="TVG103" s="1"/>
      <c r="TVH103" s="1"/>
      <c r="TVI103" s="1"/>
      <c r="TVJ103" s="1"/>
      <c r="TVK103" s="1"/>
      <c r="TVL103" s="1"/>
      <c r="TVM103" s="1"/>
      <c r="TVN103" s="1"/>
      <c r="TVO103" s="1"/>
      <c r="TVP103" s="1"/>
      <c r="TVQ103" s="1"/>
      <c r="TVR103" s="1"/>
      <c r="TVS103" s="1"/>
      <c r="TVT103" s="1"/>
      <c r="TVU103" s="1"/>
      <c r="TVV103" s="1"/>
      <c r="TVW103" s="1"/>
      <c r="TVX103" s="1"/>
      <c r="TVY103" s="1"/>
      <c r="TVZ103" s="1"/>
      <c r="TWA103" s="1"/>
      <c r="TWB103" s="1"/>
      <c r="TWC103" s="1"/>
      <c r="TWD103" s="1"/>
      <c r="TWE103" s="1"/>
      <c r="TWF103" s="1"/>
      <c r="TWG103" s="1"/>
      <c r="TWH103" s="1"/>
      <c r="TWI103" s="1"/>
      <c r="TWJ103" s="1"/>
      <c r="TWK103" s="1"/>
      <c r="TWL103" s="1"/>
      <c r="TWM103" s="1"/>
      <c r="TWN103" s="1"/>
      <c r="TWO103" s="1"/>
      <c r="TWP103" s="1"/>
      <c r="TWQ103" s="1"/>
      <c r="TWR103" s="1"/>
      <c r="TWS103" s="1"/>
      <c r="TWT103" s="1"/>
      <c r="TWU103" s="1"/>
      <c r="TWV103" s="1"/>
      <c r="TWW103" s="1"/>
      <c r="TWX103" s="1"/>
      <c r="TWY103" s="1"/>
      <c r="TWZ103" s="1"/>
      <c r="TXA103" s="1"/>
      <c r="TXB103" s="1"/>
      <c r="TXC103" s="1"/>
      <c r="TXD103" s="1"/>
      <c r="TXE103" s="1"/>
      <c r="TXF103" s="1"/>
      <c r="TXG103" s="1"/>
      <c r="TXH103" s="1"/>
      <c r="TXI103" s="1"/>
      <c r="TXJ103" s="1"/>
      <c r="TXK103" s="1"/>
      <c r="TXL103" s="1"/>
      <c r="TXM103" s="1"/>
      <c r="TXN103" s="1"/>
      <c r="TXO103" s="1"/>
      <c r="TXP103" s="1"/>
      <c r="TXQ103" s="1"/>
      <c r="TXR103" s="1"/>
      <c r="TXS103" s="1"/>
      <c r="TXT103" s="1"/>
      <c r="TXU103" s="1"/>
      <c r="TXV103" s="1"/>
      <c r="TXW103" s="1"/>
      <c r="TXX103" s="1"/>
      <c r="TXY103" s="1"/>
      <c r="TXZ103" s="1"/>
      <c r="TYA103" s="1"/>
      <c r="TYB103" s="1"/>
      <c r="TYC103" s="1"/>
      <c r="TYD103" s="1"/>
      <c r="TYE103" s="1"/>
      <c r="TYF103" s="1"/>
      <c r="TYG103" s="1"/>
      <c r="TYH103" s="1"/>
      <c r="TYI103" s="1"/>
      <c r="TYJ103" s="1"/>
      <c r="TYK103" s="1"/>
      <c r="TYL103" s="1"/>
      <c r="TYM103" s="1"/>
      <c r="TYN103" s="1"/>
      <c r="TYO103" s="1"/>
      <c r="TYP103" s="1"/>
      <c r="TYQ103" s="1"/>
      <c r="TYR103" s="1"/>
      <c r="TYS103" s="1"/>
      <c r="TYT103" s="1"/>
      <c r="TYU103" s="1"/>
      <c r="TYV103" s="1"/>
      <c r="TYW103" s="1"/>
      <c r="TYX103" s="1"/>
      <c r="TYY103" s="1"/>
      <c r="TYZ103" s="1"/>
      <c r="TZA103" s="1"/>
      <c r="TZB103" s="1"/>
      <c r="TZC103" s="1"/>
      <c r="TZD103" s="1"/>
      <c r="TZE103" s="1"/>
      <c r="TZF103" s="1"/>
      <c r="TZG103" s="1"/>
      <c r="TZH103" s="1"/>
      <c r="TZI103" s="1"/>
      <c r="TZJ103" s="1"/>
      <c r="TZK103" s="1"/>
      <c r="TZL103" s="1"/>
      <c r="TZM103" s="1"/>
      <c r="TZN103" s="1"/>
      <c r="TZO103" s="1"/>
      <c r="TZP103" s="1"/>
      <c r="TZQ103" s="1"/>
      <c r="TZR103" s="1"/>
      <c r="TZS103" s="1"/>
      <c r="TZT103" s="1"/>
      <c r="TZU103" s="1"/>
      <c r="TZV103" s="1"/>
      <c r="TZW103" s="1"/>
      <c r="TZX103" s="1"/>
      <c r="TZY103" s="1"/>
      <c r="TZZ103" s="1"/>
      <c r="UAA103" s="1"/>
      <c r="UAB103" s="1"/>
      <c r="UAC103" s="1"/>
      <c r="UAD103" s="1"/>
      <c r="UAE103" s="1"/>
      <c r="UAF103" s="1"/>
      <c r="UAG103" s="1"/>
      <c r="UAH103" s="1"/>
      <c r="UAI103" s="1"/>
      <c r="UAJ103" s="1"/>
      <c r="UAK103" s="1"/>
      <c r="UAL103" s="1"/>
      <c r="UAM103" s="1"/>
      <c r="UAN103" s="1"/>
      <c r="UAO103" s="1"/>
      <c r="UAP103" s="1"/>
      <c r="UAQ103" s="1"/>
      <c r="UAR103" s="1"/>
      <c r="UAS103" s="1"/>
      <c r="UAT103" s="1"/>
      <c r="UAU103" s="1"/>
      <c r="UAV103" s="1"/>
      <c r="UAW103" s="1"/>
      <c r="UAX103" s="1"/>
      <c r="UAY103" s="1"/>
      <c r="UAZ103" s="1"/>
      <c r="UBA103" s="1"/>
      <c r="UBB103" s="1"/>
      <c r="UBC103" s="1"/>
      <c r="UBD103" s="1"/>
      <c r="UBE103" s="1"/>
      <c r="UBF103" s="1"/>
      <c r="UBG103" s="1"/>
      <c r="UBH103" s="1"/>
      <c r="UBI103" s="1"/>
      <c r="UBJ103" s="1"/>
      <c r="UBK103" s="1"/>
      <c r="UBL103" s="1"/>
      <c r="UBM103" s="1"/>
      <c r="UBN103" s="1"/>
      <c r="UBO103" s="1"/>
      <c r="UBP103" s="1"/>
      <c r="UBW103" s="1"/>
      <c r="UBX103" s="1"/>
      <c r="UBY103" s="1"/>
      <c r="UBZ103" s="1"/>
      <c r="UCA103" s="1"/>
      <c r="UCB103" s="1"/>
      <c r="UCC103" s="1"/>
      <c r="UCD103" s="1"/>
      <c r="UCE103" s="1"/>
      <c r="UCF103" s="1"/>
      <c r="UCG103" s="1"/>
      <c r="UCH103" s="1"/>
      <c r="UCI103" s="1"/>
      <c r="UCJ103" s="1"/>
      <c r="UCK103" s="1"/>
      <c r="UCL103" s="1"/>
      <c r="UCM103" s="1"/>
      <c r="UCN103" s="1"/>
      <c r="UCO103" s="1"/>
      <c r="UCP103" s="1"/>
      <c r="UCQ103" s="1"/>
      <c r="UCR103" s="1"/>
      <c r="UCS103" s="1"/>
      <c r="UCT103" s="1"/>
      <c r="UCU103" s="1"/>
      <c r="UCV103" s="1"/>
      <c r="UCW103" s="1"/>
      <c r="UCX103" s="1"/>
      <c r="UCY103" s="1"/>
      <c r="UCZ103" s="1"/>
      <c r="UDA103" s="1"/>
      <c r="UDB103" s="1"/>
      <c r="UDC103" s="1"/>
      <c r="UDD103" s="1"/>
      <c r="UDE103" s="1"/>
      <c r="UDF103" s="1"/>
      <c r="UDG103" s="1"/>
      <c r="UDH103" s="1"/>
      <c r="UDI103" s="1"/>
      <c r="UDJ103" s="1"/>
      <c r="UDK103" s="1"/>
      <c r="UDL103" s="1"/>
      <c r="UDM103" s="1"/>
      <c r="UDN103" s="1"/>
      <c r="UDO103" s="1"/>
      <c r="UDP103" s="1"/>
      <c r="UDQ103" s="1"/>
      <c r="UDR103" s="1"/>
      <c r="UDS103" s="1"/>
      <c r="UDT103" s="1"/>
      <c r="UDU103" s="1"/>
      <c r="UDV103" s="1"/>
      <c r="UDW103" s="1"/>
      <c r="UDX103" s="1"/>
      <c r="UDY103" s="1"/>
      <c r="UDZ103" s="1"/>
      <c r="UEA103" s="1"/>
      <c r="UEB103" s="1"/>
      <c r="UEC103" s="1"/>
      <c r="UED103" s="1"/>
      <c r="UEE103" s="1"/>
      <c r="UEF103" s="1"/>
      <c r="UEG103" s="1"/>
      <c r="UEH103" s="1"/>
      <c r="UEI103" s="1"/>
      <c r="UEJ103" s="1"/>
      <c r="UEK103" s="1"/>
      <c r="UEL103" s="1"/>
      <c r="UEM103" s="1"/>
      <c r="UEN103" s="1"/>
      <c r="UEO103" s="1"/>
      <c r="UEP103" s="1"/>
      <c r="UEQ103" s="1"/>
      <c r="UER103" s="1"/>
      <c r="UES103" s="1"/>
      <c r="UET103" s="1"/>
      <c r="UEU103" s="1"/>
      <c r="UEV103" s="1"/>
      <c r="UEW103" s="1"/>
      <c r="UEX103" s="1"/>
      <c r="UEY103" s="1"/>
      <c r="UEZ103" s="1"/>
      <c r="UFA103" s="1"/>
      <c r="UFB103" s="1"/>
      <c r="UFC103" s="1"/>
      <c r="UFD103" s="1"/>
      <c r="UFE103" s="1"/>
      <c r="UFF103" s="1"/>
      <c r="UFG103" s="1"/>
      <c r="UFH103" s="1"/>
      <c r="UFI103" s="1"/>
      <c r="UFJ103" s="1"/>
      <c r="UFK103" s="1"/>
      <c r="UFL103" s="1"/>
      <c r="UFM103" s="1"/>
      <c r="UFN103" s="1"/>
      <c r="UFO103" s="1"/>
      <c r="UFP103" s="1"/>
      <c r="UFQ103" s="1"/>
      <c r="UFR103" s="1"/>
      <c r="UFS103" s="1"/>
      <c r="UFT103" s="1"/>
      <c r="UFU103" s="1"/>
      <c r="UFV103" s="1"/>
      <c r="UFW103" s="1"/>
      <c r="UFX103" s="1"/>
      <c r="UFY103" s="1"/>
      <c r="UFZ103" s="1"/>
      <c r="UGA103" s="1"/>
      <c r="UGB103" s="1"/>
      <c r="UGC103" s="1"/>
      <c r="UGD103" s="1"/>
      <c r="UGE103" s="1"/>
      <c r="UGF103" s="1"/>
      <c r="UGG103" s="1"/>
      <c r="UGH103" s="1"/>
      <c r="UGI103" s="1"/>
      <c r="UGJ103" s="1"/>
      <c r="UGK103" s="1"/>
      <c r="UGL103" s="1"/>
      <c r="UGM103" s="1"/>
      <c r="UGN103" s="1"/>
      <c r="UGO103" s="1"/>
      <c r="UGP103" s="1"/>
      <c r="UGQ103" s="1"/>
      <c r="UGR103" s="1"/>
      <c r="UGS103" s="1"/>
      <c r="UGT103" s="1"/>
      <c r="UGU103" s="1"/>
      <c r="UGV103" s="1"/>
      <c r="UGW103" s="1"/>
      <c r="UGX103" s="1"/>
      <c r="UGY103" s="1"/>
      <c r="UGZ103" s="1"/>
      <c r="UHA103" s="1"/>
      <c r="UHB103" s="1"/>
      <c r="UHC103" s="1"/>
      <c r="UHD103" s="1"/>
      <c r="UHE103" s="1"/>
      <c r="UHF103" s="1"/>
      <c r="UHG103" s="1"/>
      <c r="UHH103" s="1"/>
      <c r="UHI103" s="1"/>
      <c r="UHJ103" s="1"/>
      <c r="UHK103" s="1"/>
      <c r="UHL103" s="1"/>
      <c r="UHM103" s="1"/>
      <c r="UHN103" s="1"/>
      <c r="UHO103" s="1"/>
      <c r="UHP103" s="1"/>
      <c r="UHQ103" s="1"/>
      <c r="UHR103" s="1"/>
      <c r="UHS103" s="1"/>
      <c r="UHT103" s="1"/>
      <c r="UHU103" s="1"/>
      <c r="UHV103" s="1"/>
      <c r="UHW103" s="1"/>
      <c r="UHX103" s="1"/>
      <c r="UHY103" s="1"/>
      <c r="UHZ103" s="1"/>
      <c r="UIA103" s="1"/>
      <c r="UIB103" s="1"/>
      <c r="UIC103" s="1"/>
      <c r="UID103" s="1"/>
      <c r="UIE103" s="1"/>
      <c r="UIF103" s="1"/>
      <c r="UIG103" s="1"/>
      <c r="UIH103" s="1"/>
      <c r="UII103" s="1"/>
      <c r="UIJ103" s="1"/>
      <c r="UIK103" s="1"/>
      <c r="UIL103" s="1"/>
      <c r="UIM103" s="1"/>
      <c r="UIN103" s="1"/>
      <c r="UIO103" s="1"/>
      <c r="UIP103" s="1"/>
      <c r="UIQ103" s="1"/>
      <c r="UIR103" s="1"/>
      <c r="UIS103" s="1"/>
      <c r="UIT103" s="1"/>
      <c r="UIU103" s="1"/>
      <c r="UIV103" s="1"/>
      <c r="UIW103" s="1"/>
      <c r="UIX103" s="1"/>
      <c r="UIY103" s="1"/>
      <c r="UIZ103" s="1"/>
      <c r="UJA103" s="1"/>
      <c r="UJB103" s="1"/>
      <c r="UJC103" s="1"/>
      <c r="UJD103" s="1"/>
      <c r="UJE103" s="1"/>
      <c r="UJF103" s="1"/>
      <c r="UJG103" s="1"/>
      <c r="UJH103" s="1"/>
      <c r="UJI103" s="1"/>
      <c r="UJJ103" s="1"/>
      <c r="UJK103" s="1"/>
      <c r="UJL103" s="1"/>
      <c r="UJM103" s="1"/>
      <c r="UJN103" s="1"/>
      <c r="UJO103" s="1"/>
      <c r="UJP103" s="1"/>
      <c r="UJQ103" s="1"/>
      <c r="UJR103" s="1"/>
      <c r="UJS103" s="1"/>
      <c r="UJT103" s="1"/>
      <c r="UJU103" s="1"/>
      <c r="UJV103" s="1"/>
      <c r="UJW103" s="1"/>
      <c r="UJX103" s="1"/>
      <c r="UJY103" s="1"/>
      <c r="UJZ103" s="1"/>
      <c r="UKA103" s="1"/>
      <c r="UKB103" s="1"/>
      <c r="UKC103" s="1"/>
      <c r="UKD103" s="1"/>
      <c r="UKE103" s="1"/>
      <c r="UKF103" s="1"/>
      <c r="UKG103" s="1"/>
      <c r="UKH103" s="1"/>
      <c r="UKI103" s="1"/>
      <c r="UKJ103" s="1"/>
      <c r="UKK103" s="1"/>
      <c r="UKL103" s="1"/>
      <c r="UKM103" s="1"/>
      <c r="UKN103" s="1"/>
      <c r="UKO103" s="1"/>
      <c r="UKP103" s="1"/>
      <c r="UKQ103" s="1"/>
      <c r="UKR103" s="1"/>
      <c r="UKS103" s="1"/>
      <c r="UKT103" s="1"/>
      <c r="UKU103" s="1"/>
      <c r="UKV103" s="1"/>
      <c r="UKW103" s="1"/>
      <c r="UKX103" s="1"/>
      <c r="UKY103" s="1"/>
      <c r="UKZ103" s="1"/>
      <c r="ULA103" s="1"/>
      <c r="ULB103" s="1"/>
      <c r="ULC103" s="1"/>
      <c r="ULD103" s="1"/>
      <c r="ULE103" s="1"/>
      <c r="ULF103" s="1"/>
      <c r="ULG103" s="1"/>
      <c r="ULH103" s="1"/>
      <c r="ULI103" s="1"/>
      <c r="ULJ103" s="1"/>
      <c r="ULK103" s="1"/>
      <c r="ULL103" s="1"/>
      <c r="ULS103" s="1"/>
      <c r="ULT103" s="1"/>
      <c r="ULU103" s="1"/>
      <c r="ULV103" s="1"/>
      <c r="ULW103" s="1"/>
      <c r="ULX103" s="1"/>
      <c r="ULY103" s="1"/>
      <c r="ULZ103" s="1"/>
      <c r="UMA103" s="1"/>
      <c r="UMB103" s="1"/>
      <c r="UMC103" s="1"/>
      <c r="UMD103" s="1"/>
      <c r="UME103" s="1"/>
      <c r="UMF103" s="1"/>
      <c r="UMG103" s="1"/>
      <c r="UMH103" s="1"/>
      <c r="UMI103" s="1"/>
      <c r="UMJ103" s="1"/>
      <c r="UMK103" s="1"/>
      <c r="UML103" s="1"/>
      <c r="UMM103" s="1"/>
      <c r="UMN103" s="1"/>
      <c r="UMO103" s="1"/>
      <c r="UMP103" s="1"/>
      <c r="UMQ103" s="1"/>
      <c r="UMR103" s="1"/>
      <c r="UMS103" s="1"/>
      <c r="UMT103" s="1"/>
      <c r="UMU103" s="1"/>
      <c r="UMV103" s="1"/>
      <c r="UMW103" s="1"/>
      <c r="UMX103" s="1"/>
      <c r="UMY103" s="1"/>
      <c r="UMZ103" s="1"/>
      <c r="UNA103" s="1"/>
      <c r="UNB103" s="1"/>
      <c r="UNC103" s="1"/>
      <c r="UND103" s="1"/>
      <c r="UNE103" s="1"/>
      <c r="UNF103" s="1"/>
      <c r="UNG103" s="1"/>
      <c r="UNH103" s="1"/>
      <c r="UNI103" s="1"/>
      <c r="UNJ103" s="1"/>
      <c r="UNK103" s="1"/>
      <c r="UNL103" s="1"/>
      <c r="UNM103" s="1"/>
      <c r="UNN103" s="1"/>
      <c r="UNO103" s="1"/>
      <c r="UNP103" s="1"/>
      <c r="UNQ103" s="1"/>
      <c r="UNR103" s="1"/>
      <c r="UNS103" s="1"/>
      <c r="UNT103" s="1"/>
      <c r="UNU103" s="1"/>
      <c r="UNV103" s="1"/>
      <c r="UNW103" s="1"/>
      <c r="UNX103" s="1"/>
      <c r="UNY103" s="1"/>
      <c r="UNZ103" s="1"/>
      <c r="UOA103" s="1"/>
      <c r="UOB103" s="1"/>
      <c r="UOC103" s="1"/>
      <c r="UOD103" s="1"/>
      <c r="UOE103" s="1"/>
      <c r="UOF103" s="1"/>
      <c r="UOG103" s="1"/>
      <c r="UOH103" s="1"/>
      <c r="UOI103" s="1"/>
      <c r="UOJ103" s="1"/>
      <c r="UOK103" s="1"/>
      <c r="UOL103" s="1"/>
      <c r="UOM103" s="1"/>
      <c r="UON103" s="1"/>
      <c r="UOO103" s="1"/>
      <c r="UOP103" s="1"/>
      <c r="UOQ103" s="1"/>
      <c r="UOR103" s="1"/>
      <c r="UOS103" s="1"/>
      <c r="UOT103" s="1"/>
      <c r="UOU103" s="1"/>
      <c r="UOV103" s="1"/>
      <c r="UOW103" s="1"/>
      <c r="UOX103" s="1"/>
      <c r="UOY103" s="1"/>
      <c r="UOZ103" s="1"/>
      <c r="UPA103" s="1"/>
      <c r="UPB103" s="1"/>
      <c r="UPC103" s="1"/>
      <c r="UPD103" s="1"/>
      <c r="UPE103" s="1"/>
      <c r="UPF103" s="1"/>
      <c r="UPG103" s="1"/>
      <c r="UPH103" s="1"/>
      <c r="UPI103" s="1"/>
      <c r="UPJ103" s="1"/>
      <c r="UPK103" s="1"/>
      <c r="UPL103" s="1"/>
      <c r="UPM103" s="1"/>
      <c r="UPN103" s="1"/>
      <c r="UPO103" s="1"/>
      <c r="UPP103" s="1"/>
      <c r="UPQ103" s="1"/>
      <c r="UPR103" s="1"/>
      <c r="UPS103" s="1"/>
      <c r="UPT103" s="1"/>
      <c r="UPU103" s="1"/>
      <c r="UPV103" s="1"/>
      <c r="UPW103" s="1"/>
      <c r="UPX103" s="1"/>
      <c r="UPY103" s="1"/>
      <c r="UPZ103" s="1"/>
      <c r="UQA103" s="1"/>
      <c r="UQB103" s="1"/>
      <c r="UQC103" s="1"/>
      <c r="UQD103" s="1"/>
      <c r="UQE103" s="1"/>
      <c r="UQF103" s="1"/>
      <c r="UQG103" s="1"/>
      <c r="UQH103" s="1"/>
      <c r="UQI103" s="1"/>
      <c r="UQJ103" s="1"/>
      <c r="UQK103" s="1"/>
      <c r="UQL103" s="1"/>
      <c r="UQM103" s="1"/>
      <c r="UQN103" s="1"/>
      <c r="UQO103" s="1"/>
      <c r="UQP103" s="1"/>
      <c r="UQQ103" s="1"/>
      <c r="UQR103" s="1"/>
      <c r="UQS103" s="1"/>
      <c r="UQT103" s="1"/>
      <c r="UQU103" s="1"/>
      <c r="UQV103" s="1"/>
      <c r="UQW103" s="1"/>
      <c r="UQX103" s="1"/>
      <c r="UQY103" s="1"/>
      <c r="UQZ103" s="1"/>
      <c r="URA103" s="1"/>
      <c r="URB103" s="1"/>
      <c r="URC103" s="1"/>
      <c r="URD103" s="1"/>
      <c r="URE103" s="1"/>
      <c r="URF103" s="1"/>
      <c r="URG103" s="1"/>
      <c r="URH103" s="1"/>
      <c r="URI103" s="1"/>
      <c r="URJ103" s="1"/>
      <c r="URK103" s="1"/>
      <c r="URL103" s="1"/>
      <c r="URM103" s="1"/>
      <c r="URN103" s="1"/>
      <c r="URO103" s="1"/>
      <c r="URP103" s="1"/>
      <c r="URQ103" s="1"/>
      <c r="URR103" s="1"/>
      <c r="URS103" s="1"/>
      <c r="URT103" s="1"/>
      <c r="URU103" s="1"/>
      <c r="URV103" s="1"/>
      <c r="URW103" s="1"/>
      <c r="URX103" s="1"/>
      <c r="URY103" s="1"/>
      <c r="URZ103" s="1"/>
      <c r="USA103" s="1"/>
      <c r="USB103" s="1"/>
      <c r="USC103" s="1"/>
      <c r="USD103" s="1"/>
      <c r="USE103" s="1"/>
      <c r="USF103" s="1"/>
      <c r="USG103" s="1"/>
      <c r="USH103" s="1"/>
      <c r="USI103" s="1"/>
      <c r="USJ103" s="1"/>
      <c r="USK103" s="1"/>
      <c r="USL103" s="1"/>
      <c r="USM103" s="1"/>
      <c r="USN103" s="1"/>
      <c r="USO103" s="1"/>
      <c r="USP103" s="1"/>
      <c r="USQ103" s="1"/>
      <c r="USR103" s="1"/>
      <c r="USS103" s="1"/>
      <c r="UST103" s="1"/>
      <c r="USU103" s="1"/>
      <c r="USV103" s="1"/>
      <c r="USW103" s="1"/>
      <c r="USX103" s="1"/>
      <c r="USY103" s="1"/>
      <c r="USZ103" s="1"/>
      <c r="UTA103" s="1"/>
      <c r="UTB103" s="1"/>
      <c r="UTC103" s="1"/>
      <c r="UTD103" s="1"/>
      <c r="UTE103" s="1"/>
      <c r="UTF103" s="1"/>
      <c r="UTG103" s="1"/>
      <c r="UTH103" s="1"/>
      <c r="UTI103" s="1"/>
      <c r="UTJ103" s="1"/>
      <c r="UTK103" s="1"/>
      <c r="UTL103" s="1"/>
      <c r="UTM103" s="1"/>
      <c r="UTN103" s="1"/>
      <c r="UTO103" s="1"/>
      <c r="UTP103" s="1"/>
      <c r="UTQ103" s="1"/>
      <c r="UTR103" s="1"/>
      <c r="UTS103" s="1"/>
      <c r="UTT103" s="1"/>
      <c r="UTU103" s="1"/>
      <c r="UTV103" s="1"/>
      <c r="UTW103" s="1"/>
      <c r="UTX103" s="1"/>
      <c r="UTY103" s="1"/>
      <c r="UTZ103" s="1"/>
      <c r="UUA103" s="1"/>
      <c r="UUB103" s="1"/>
      <c r="UUC103" s="1"/>
      <c r="UUD103" s="1"/>
      <c r="UUE103" s="1"/>
      <c r="UUF103" s="1"/>
      <c r="UUG103" s="1"/>
      <c r="UUH103" s="1"/>
      <c r="UUI103" s="1"/>
      <c r="UUJ103" s="1"/>
      <c r="UUK103" s="1"/>
      <c r="UUL103" s="1"/>
      <c r="UUM103" s="1"/>
      <c r="UUN103" s="1"/>
      <c r="UUO103" s="1"/>
      <c r="UUP103" s="1"/>
      <c r="UUQ103" s="1"/>
      <c r="UUR103" s="1"/>
      <c r="UUS103" s="1"/>
      <c r="UUT103" s="1"/>
      <c r="UUU103" s="1"/>
      <c r="UUV103" s="1"/>
      <c r="UUW103" s="1"/>
      <c r="UUX103" s="1"/>
      <c r="UUY103" s="1"/>
      <c r="UUZ103" s="1"/>
      <c r="UVA103" s="1"/>
      <c r="UVB103" s="1"/>
      <c r="UVC103" s="1"/>
      <c r="UVD103" s="1"/>
      <c r="UVE103" s="1"/>
      <c r="UVF103" s="1"/>
      <c r="UVG103" s="1"/>
      <c r="UVH103" s="1"/>
      <c r="UVO103" s="1"/>
      <c r="UVP103" s="1"/>
      <c r="UVQ103" s="1"/>
      <c r="UVR103" s="1"/>
      <c r="UVS103" s="1"/>
      <c r="UVT103" s="1"/>
      <c r="UVU103" s="1"/>
      <c r="UVV103" s="1"/>
      <c r="UVW103" s="1"/>
      <c r="UVX103" s="1"/>
      <c r="UVY103" s="1"/>
      <c r="UVZ103" s="1"/>
      <c r="UWA103" s="1"/>
      <c r="UWB103" s="1"/>
      <c r="UWC103" s="1"/>
      <c r="UWD103" s="1"/>
      <c r="UWE103" s="1"/>
      <c r="UWF103" s="1"/>
      <c r="UWG103" s="1"/>
      <c r="UWH103" s="1"/>
      <c r="UWI103" s="1"/>
      <c r="UWJ103" s="1"/>
      <c r="UWK103" s="1"/>
      <c r="UWL103" s="1"/>
      <c r="UWM103" s="1"/>
      <c r="UWN103" s="1"/>
      <c r="UWO103" s="1"/>
      <c r="UWP103" s="1"/>
      <c r="UWQ103" s="1"/>
      <c r="UWR103" s="1"/>
      <c r="UWS103" s="1"/>
      <c r="UWT103" s="1"/>
      <c r="UWU103" s="1"/>
      <c r="UWV103" s="1"/>
      <c r="UWW103" s="1"/>
      <c r="UWX103" s="1"/>
      <c r="UWY103" s="1"/>
      <c r="UWZ103" s="1"/>
      <c r="UXA103" s="1"/>
      <c r="UXB103" s="1"/>
      <c r="UXC103" s="1"/>
      <c r="UXD103" s="1"/>
      <c r="UXE103" s="1"/>
      <c r="UXF103" s="1"/>
      <c r="UXG103" s="1"/>
      <c r="UXH103" s="1"/>
      <c r="UXI103" s="1"/>
      <c r="UXJ103" s="1"/>
      <c r="UXK103" s="1"/>
      <c r="UXL103" s="1"/>
      <c r="UXM103" s="1"/>
      <c r="UXN103" s="1"/>
      <c r="UXO103" s="1"/>
      <c r="UXP103" s="1"/>
      <c r="UXQ103" s="1"/>
      <c r="UXR103" s="1"/>
      <c r="UXS103" s="1"/>
      <c r="UXT103" s="1"/>
      <c r="UXU103" s="1"/>
      <c r="UXV103" s="1"/>
      <c r="UXW103" s="1"/>
      <c r="UXX103" s="1"/>
      <c r="UXY103" s="1"/>
      <c r="UXZ103" s="1"/>
      <c r="UYA103" s="1"/>
      <c r="UYB103" s="1"/>
      <c r="UYC103" s="1"/>
      <c r="UYD103" s="1"/>
      <c r="UYE103" s="1"/>
      <c r="UYF103" s="1"/>
      <c r="UYG103" s="1"/>
      <c r="UYH103" s="1"/>
      <c r="UYI103" s="1"/>
      <c r="UYJ103" s="1"/>
      <c r="UYK103" s="1"/>
      <c r="UYL103" s="1"/>
      <c r="UYM103" s="1"/>
      <c r="UYN103" s="1"/>
      <c r="UYO103" s="1"/>
      <c r="UYP103" s="1"/>
      <c r="UYQ103" s="1"/>
      <c r="UYR103" s="1"/>
      <c r="UYS103" s="1"/>
      <c r="UYT103" s="1"/>
      <c r="UYU103" s="1"/>
      <c r="UYV103" s="1"/>
      <c r="UYW103" s="1"/>
      <c r="UYX103" s="1"/>
      <c r="UYY103" s="1"/>
      <c r="UYZ103" s="1"/>
      <c r="UZA103" s="1"/>
      <c r="UZB103" s="1"/>
      <c r="UZC103" s="1"/>
      <c r="UZD103" s="1"/>
      <c r="UZE103" s="1"/>
      <c r="UZF103" s="1"/>
      <c r="UZG103" s="1"/>
      <c r="UZH103" s="1"/>
      <c r="UZI103" s="1"/>
      <c r="UZJ103" s="1"/>
      <c r="UZK103" s="1"/>
      <c r="UZL103" s="1"/>
      <c r="UZM103" s="1"/>
      <c r="UZN103" s="1"/>
      <c r="UZO103" s="1"/>
      <c r="UZP103" s="1"/>
      <c r="UZQ103" s="1"/>
      <c r="UZR103" s="1"/>
      <c r="UZS103" s="1"/>
      <c r="UZT103" s="1"/>
      <c r="UZU103" s="1"/>
      <c r="UZV103" s="1"/>
      <c r="UZW103" s="1"/>
      <c r="UZX103" s="1"/>
      <c r="UZY103" s="1"/>
      <c r="UZZ103" s="1"/>
      <c r="VAA103" s="1"/>
      <c r="VAB103" s="1"/>
      <c r="VAC103" s="1"/>
      <c r="VAD103" s="1"/>
      <c r="VAE103" s="1"/>
      <c r="VAF103" s="1"/>
      <c r="VAG103" s="1"/>
      <c r="VAH103" s="1"/>
      <c r="VAI103" s="1"/>
      <c r="VAJ103" s="1"/>
      <c r="VAK103" s="1"/>
      <c r="VAL103" s="1"/>
      <c r="VAM103" s="1"/>
      <c r="VAN103" s="1"/>
      <c r="VAO103" s="1"/>
      <c r="VAP103" s="1"/>
      <c r="VAQ103" s="1"/>
      <c r="VAR103" s="1"/>
      <c r="VAS103" s="1"/>
      <c r="VAT103" s="1"/>
      <c r="VAU103" s="1"/>
      <c r="VAV103" s="1"/>
      <c r="VAW103" s="1"/>
      <c r="VAX103" s="1"/>
      <c r="VAY103" s="1"/>
      <c r="VAZ103" s="1"/>
      <c r="VBA103" s="1"/>
      <c r="VBB103" s="1"/>
      <c r="VBC103" s="1"/>
      <c r="VBD103" s="1"/>
      <c r="VBE103" s="1"/>
      <c r="VBF103" s="1"/>
      <c r="VBG103" s="1"/>
      <c r="VBH103" s="1"/>
      <c r="VBI103" s="1"/>
      <c r="VBJ103" s="1"/>
      <c r="VBK103" s="1"/>
      <c r="VBL103" s="1"/>
      <c r="VBM103" s="1"/>
      <c r="VBN103" s="1"/>
      <c r="VBO103" s="1"/>
      <c r="VBP103" s="1"/>
      <c r="VBQ103" s="1"/>
      <c r="VBR103" s="1"/>
      <c r="VBS103" s="1"/>
      <c r="VBT103" s="1"/>
      <c r="VBU103" s="1"/>
      <c r="VBV103" s="1"/>
      <c r="VBW103" s="1"/>
      <c r="VBX103" s="1"/>
      <c r="VBY103" s="1"/>
      <c r="VBZ103" s="1"/>
      <c r="VCA103" s="1"/>
      <c r="VCB103" s="1"/>
      <c r="VCC103" s="1"/>
      <c r="VCD103" s="1"/>
      <c r="VCE103" s="1"/>
      <c r="VCF103" s="1"/>
      <c r="VCG103" s="1"/>
      <c r="VCH103" s="1"/>
      <c r="VCI103" s="1"/>
      <c r="VCJ103" s="1"/>
      <c r="VCK103" s="1"/>
      <c r="VCL103" s="1"/>
      <c r="VCM103" s="1"/>
      <c r="VCN103" s="1"/>
      <c r="VCO103" s="1"/>
      <c r="VCP103" s="1"/>
      <c r="VCQ103" s="1"/>
      <c r="VCR103" s="1"/>
      <c r="VCS103" s="1"/>
      <c r="VCT103" s="1"/>
      <c r="VCU103" s="1"/>
      <c r="VCV103" s="1"/>
      <c r="VCW103" s="1"/>
      <c r="VCX103" s="1"/>
      <c r="VCY103" s="1"/>
      <c r="VCZ103" s="1"/>
      <c r="VDA103" s="1"/>
      <c r="VDB103" s="1"/>
      <c r="VDC103" s="1"/>
      <c r="VDD103" s="1"/>
      <c r="VDE103" s="1"/>
      <c r="VDF103" s="1"/>
      <c r="VDG103" s="1"/>
      <c r="VDH103" s="1"/>
      <c r="VDI103" s="1"/>
      <c r="VDJ103" s="1"/>
      <c r="VDK103" s="1"/>
      <c r="VDL103" s="1"/>
      <c r="VDM103" s="1"/>
      <c r="VDN103" s="1"/>
      <c r="VDO103" s="1"/>
      <c r="VDP103" s="1"/>
      <c r="VDQ103" s="1"/>
      <c r="VDR103" s="1"/>
      <c r="VDS103" s="1"/>
      <c r="VDT103" s="1"/>
      <c r="VDU103" s="1"/>
      <c r="VDV103" s="1"/>
      <c r="VDW103" s="1"/>
      <c r="VDX103" s="1"/>
      <c r="VDY103" s="1"/>
      <c r="VDZ103" s="1"/>
      <c r="VEA103" s="1"/>
      <c r="VEB103" s="1"/>
      <c r="VEC103" s="1"/>
      <c r="VED103" s="1"/>
      <c r="VEE103" s="1"/>
      <c r="VEF103" s="1"/>
      <c r="VEG103" s="1"/>
      <c r="VEH103" s="1"/>
      <c r="VEI103" s="1"/>
      <c r="VEJ103" s="1"/>
      <c r="VEK103" s="1"/>
      <c r="VEL103" s="1"/>
      <c r="VEM103" s="1"/>
      <c r="VEN103" s="1"/>
      <c r="VEO103" s="1"/>
      <c r="VEP103" s="1"/>
      <c r="VEQ103" s="1"/>
      <c r="VER103" s="1"/>
      <c r="VES103" s="1"/>
      <c r="VET103" s="1"/>
      <c r="VEU103" s="1"/>
      <c r="VEV103" s="1"/>
      <c r="VEW103" s="1"/>
      <c r="VEX103" s="1"/>
      <c r="VEY103" s="1"/>
      <c r="VEZ103" s="1"/>
      <c r="VFA103" s="1"/>
      <c r="VFB103" s="1"/>
      <c r="VFC103" s="1"/>
      <c r="VFD103" s="1"/>
      <c r="VFK103" s="1"/>
      <c r="VFL103" s="1"/>
      <c r="VFM103" s="1"/>
      <c r="VFN103" s="1"/>
      <c r="VFO103" s="1"/>
      <c r="VFP103" s="1"/>
      <c r="VFQ103" s="1"/>
      <c r="VFR103" s="1"/>
      <c r="VFS103" s="1"/>
      <c r="VFT103" s="1"/>
      <c r="VFU103" s="1"/>
      <c r="VFV103" s="1"/>
      <c r="VFW103" s="1"/>
      <c r="VFX103" s="1"/>
      <c r="VFY103" s="1"/>
      <c r="VFZ103" s="1"/>
      <c r="VGA103" s="1"/>
      <c r="VGB103" s="1"/>
      <c r="VGC103" s="1"/>
      <c r="VGD103" s="1"/>
      <c r="VGE103" s="1"/>
      <c r="VGF103" s="1"/>
      <c r="VGG103" s="1"/>
      <c r="VGH103" s="1"/>
      <c r="VGI103" s="1"/>
      <c r="VGJ103" s="1"/>
      <c r="VGK103" s="1"/>
      <c r="VGL103" s="1"/>
      <c r="VGM103" s="1"/>
      <c r="VGN103" s="1"/>
      <c r="VGO103" s="1"/>
      <c r="VGP103" s="1"/>
      <c r="VGQ103" s="1"/>
      <c r="VGR103" s="1"/>
      <c r="VGS103" s="1"/>
      <c r="VGT103" s="1"/>
      <c r="VGU103" s="1"/>
      <c r="VGV103" s="1"/>
      <c r="VGW103" s="1"/>
      <c r="VGX103" s="1"/>
      <c r="VGY103" s="1"/>
      <c r="VGZ103" s="1"/>
      <c r="VHA103" s="1"/>
      <c r="VHB103" s="1"/>
      <c r="VHC103" s="1"/>
      <c r="VHD103" s="1"/>
      <c r="VHE103" s="1"/>
      <c r="VHF103" s="1"/>
      <c r="VHG103" s="1"/>
      <c r="VHH103" s="1"/>
      <c r="VHI103" s="1"/>
      <c r="VHJ103" s="1"/>
      <c r="VHK103" s="1"/>
      <c r="VHL103" s="1"/>
      <c r="VHM103" s="1"/>
      <c r="VHN103" s="1"/>
      <c r="VHO103" s="1"/>
      <c r="VHP103" s="1"/>
      <c r="VHQ103" s="1"/>
      <c r="VHR103" s="1"/>
      <c r="VHS103" s="1"/>
      <c r="VHT103" s="1"/>
      <c r="VHU103" s="1"/>
      <c r="VHV103" s="1"/>
      <c r="VHW103" s="1"/>
      <c r="VHX103" s="1"/>
      <c r="VHY103" s="1"/>
      <c r="VHZ103" s="1"/>
      <c r="VIA103" s="1"/>
      <c r="VIB103" s="1"/>
      <c r="VIC103" s="1"/>
      <c r="VID103" s="1"/>
      <c r="VIE103" s="1"/>
      <c r="VIF103" s="1"/>
      <c r="VIG103" s="1"/>
      <c r="VIH103" s="1"/>
      <c r="VII103" s="1"/>
      <c r="VIJ103" s="1"/>
      <c r="VIK103" s="1"/>
      <c r="VIL103" s="1"/>
      <c r="VIM103" s="1"/>
      <c r="VIN103" s="1"/>
      <c r="VIO103" s="1"/>
      <c r="VIP103" s="1"/>
      <c r="VIQ103" s="1"/>
      <c r="VIR103" s="1"/>
      <c r="VIS103" s="1"/>
      <c r="VIT103" s="1"/>
      <c r="VIU103" s="1"/>
      <c r="VIV103" s="1"/>
      <c r="VIW103" s="1"/>
      <c r="VIX103" s="1"/>
      <c r="VIY103" s="1"/>
      <c r="VIZ103" s="1"/>
      <c r="VJA103" s="1"/>
      <c r="VJB103" s="1"/>
      <c r="VJC103" s="1"/>
      <c r="VJD103" s="1"/>
      <c r="VJE103" s="1"/>
      <c r="VJF103" s="1"/>
      <c r="VJG103" s="1"/>
      <c r="VJH103" s="1"/>
      <c r="VJI103" s="1"/>
      <c r="VJJ103" s="1"/>
      <c r="VJK103" s="1"/>
      <c r="VJL103" s="1"/>
      <c r="VJM103" s="1"/>
      <c r="VJN103" s="1"/>
      <c r="VJO103" s="1"/>
      <c r="VJP103" s="1"/>
      <c r="VJQ103" s="1"/>
      <c r="VJR103" s="1"/>
      <c r="VJS103" s="1"/>
      <c r="VJT103" s="1"/>
      <c r="VJU103" s="1"/>
      <c r="VJV103" s="1"/>
      <c r="VJW103" s="1"/>
      <c r="VJX103" s="1"/>
      <c r="VJY103" s="1"/>
      <c r="VJZ103" s="1"/>
      <c r="VKA103" s="1"/>
      <c r="VKB103" s="1"/>
      <c r="VKC103" s="1"/>
      <c r="VKD103" s="1"/>
      <c r="VKE103" s="1"/>
      <c r="VKF103" s="1"/>
      <c r="VKG103" s="1"/>
      <c r="VKH103" s="1"/>
      <c r="VKI103" s="1"/>
      <c r="VKJ103" s="1"/>
      <c r="VKK103" s="1"/>
      <c r="VKL103" s="1"/>
      <c r="VKM103" s="1"/>
      <c r="VKN103" s="1"/>
      <c r="VKO103" s="1"/>
      <c r="VKP103" s="1"/>
      <c r="VKQ103" s="1"/>
      <c r="VKR103" s="1"/>
      <c r="VKS103" s="1"/>
      <c r="VKT103" s="1"/>
      <c r="VKU103" s="1"/>
      <c r="VKV103" s="1"/>
      <c r="VKW103" s="1"/>
      <c r="VKX103" s="1"/>
      <c r="VKY103" s="1"/>
      <c r="VKZ103" s="1"/>
      <c r="VLA103" s="1"/>
      <c r="VLB103" s="1"/>
      <c r="VLC103" s="1"/>
      <c r="VLD103" s="1"/>
      <c r="VLE103" s="1"/>
      <c r="VLF103" s="1"/>
      <c r="VLG103" s="1"/>
      <c r="VLH103" s="1"/>
      <c r="VLI103" s="1"/>
      <c r="VLJ103" s="1"/>
      <c r="VLK103" s="1"/>
      <c r="VLL103" s="1"/>
      <c r="VLM103" s="1"/>
      <c r="VLN103" s="1"/>
      <c r="VLO103" s="1"/>
      <c r="VLP103" s="1"/>
      <c r="VLQ103" s="1"/>
      <c r="VLR103" s="1"/>
      <c r="VLS103" s="1"/>
      <c r="VLT103" s="1"/>
      <c r="VLU103" s="1"/>
      <c r="VLV103" s="1"/>
      <c r="VLW103" s="1"/>
      <c r="VLX103" s="1"/>
      <c r="VLY103" s="1"/>
      <c r="VLZ103" s="1"/>
      <c r="VMA103" s="1"/>
      <c r="VMB103" s="1"/>
      <c r="VMC103" s="1"/>
      <c r="VMD103" s="1"/>
      <c r="VME103" s="1"/>
      <c r="VMF103" s="1"/>
      <c r="VMG103" s="1"/>
      <c r="VMH103" s="1"/>
      <c r="VMI103" s="1"/>
      <c r="VMJ103" s="1"/>
      <c r="VMK103" s="1"/>
      <c r="VML103" s="1"/>
      <c r="VMM103" s="1"/>
      <c r="VMN103" s="1"/>
      <c r="VMO103" s="1"/>
      <c r="VMP103" s="1"/>
      <c r="VMQ103" s="1"/>
      <c r="VMR103" s="1"/>
      <c r="VMS103" s="1"/>
      <c r="VMT103" s="1"/>
      <c r="VMU103" s="1"/>
      <c r="VMV103" s="1"/>
      <c r="VMW103" s="1"/>
      <c r="VMX103" s="1"/>
      <c r="VMY103" s="1"/>
      <c r="VMZ103" s="1"/>
      <c r="VNA103" s="1"/>
      <c r="VNB103" s="1"/>
      <c r="VNC103" s="1"/>
      <c r="VND103" s="1"/>
      <c r="VNE103" s="1"/>
      <c r="VNF103" s="1"/>
      <c r="VNG103" s="1"/>
      <c r="VNH103" s="1"/>
      <c r="VNI103" s="1"/>
      <c r="VNJ103" s="1"/>
      <c r="VNK103" s="1"/>
      <c r="VNL103" s="1"/>
      <c r="VNM103" s="1"/>
      <c r="VNN103" s="1"/>
      <c r="VNO103" s="1"/>
      <c r="VNP103" s="1"/>
      <c r="VNQ103" s="1"/>
      <c r="VNR103" s="1"/>
      <c r="VNS103" s="1"/>
      <c r="VNT103" s="1"/>
      <c r="VNU103" s="1"/>
      <c r="VNV103" s="1"/>
      <c r="VNW103" s="1"/>
      <c r="VNX103" s="1"/>
      <c r="VNY103" s="1"/>
      <c r="VNZ103" s="1"/>
      <c r="VOA103" s="1"/>
      <c r="VOB103" s="1"/>
      <c r="VOC103" s="1"/>
      <c r="VOD103" s="1"/>
      <c r="VOE103" s="1"/>
      <c r="VOF103" s="1"/>
      <c r="VOG103" s="1"/>
      <c r="VOH103" s="1"/>
      <c r="VOI103" s="1"/>
      <c r="VOJ103" s="1"/>
      <c r="VOK103" s="1"/>
      <c r="VOL103" s="1"/>
      <c r="VOM103" s="1"/>
      <c r="VON103" s="1"/>
      <c r="VOO103" s="1"/>
      <c r="VOP103" s="1"/>
      <c r="VOQ103" s="1"/>
      <c r="VOR103" s="1"/>
      <c r="VOS103" s="1"/>
      <c r="VOT103" s="1"/>
      <c r="VOU103" s="1"/>
      <c r="VOV103" s="1"/>
      <c r="VOW103" s="1"/>
      <c r="VOX103" s="1"/>
      <c r="VOY103" s="1"/>
      <c r="VOZ103" s="1"/>
      <c r="VPG103" s="1"/>
      <c r="VPH103" s="1"/>
      <c r="VPI103" s="1"/>
      <c r="VPJ103" s="1"/>
      <c r="VPK103" s="1"/>
      <c r="VPL103" s="1"/>
      <c r="VPM103" s="1"/>
      <c r="VPN103" s="1"/>
      <c r="VPO103" s="1"/>
      <c r="VPP103" s="1"/>
      <c r="VPQ103" s="1"/>
      <c r="VPR103" s="1"/>
      <c r="VPS103" s="1"/>
      <c r="VPT103" s="1"/>
      <c r="VPU103" s="1"/>
      <c r="VPV103" s="1"/>
      <c r="VPW103" s="1"/>
      <c r="VPX103" s="1"/>
      <c r="VPY103" s="1"/>
      <c r="VPZ103" s="1"/>
      <c r="VQA103" s="1"/>
      <c r="VQB103" s="1"/>
      <c r="VQC103" s="1"/>
      <c r="VQD103" s="1"/>
      <c r="VQE103" s="1"/>
      <c r="VQF103" s="1"/>
      <c r="VQG103" s="1"/>
      <c r="VQH103" s="1"/>
      <c r="VQI103" s="1"/>
      <c r="VQJ103" s="1"/>
      <c r="VQK103" s="1"/>
      <c r="VQL103" s="1"/>
      <c r="VQM103" s="1"/>
      <c r="VQN103" s="1"/>
      <c r="VQO103" s="1"/>
      <c r="VQP103" s="1"/>
      <c r="VQQ103" s="1"/>
      <c r="VQR103" s="1"/>
      <c r="VQS103" s="1"/>
      <c r="VQT103" s="1"/>
      <c r="VQU103" s="1"/>
      <c r="VQV103" s="1"/>
      <c r="VQW103" s="1"/>
      <c r="VQX103" s="1"/>
      <c r="VQY103" s="1"/>
      <c r="VQZ103" s="1"/>
      <c r="VRA103" s="1"/>
      <c r="VRB103" s="1"/>
      <c r="VRC103" s="1"/>
      <c r="VRD103" s="1"/>
      <c r="VRE103" s="1"/>
      <c r="VRF103" s="1"/>
      <c r="VRG103" s="1"/>
      <c r="VRH103" s="1"/>
      <c r="VRI103" s="1"/>
      <c r="VRJ103" s="1"/>
      <c r="VRK103" s="1"/>
      <c r="VRL103" s="1"/>
      <c r="VRM103" s="1"/>
      <c r="VRN103" s="1"/>
      <c r="VRO103" s="1"/>
      <c r="VRP103" s="1"/>
      <c r="VRQ103" s="1"/>
      <c r="VRR103" s="1"/>
      <c r="VRS103" s="1"/>
      <c r="VRT103" s="1"/>
      <c r="VRU103" s="1"/>
      <c r="VRV103" s="1"/>
      <c r="VRW103" s="1"/>
      <c r="VRX103" s="1"/>
      <c r="VRY103" s="1"/>
      <c r="VRZ103" s="1"/>
      <c r="VSA103" s="1"/>
      <c r="VSB103" s="1"/>
      <c r="VSC103" s="1"/>
      <c r="VSD103" s="1"/>
      <c r="VSE103" s="1"/>
      <c r="VSF103" s="1"/>
      <c r="VSG103" s="1"/>
      <c r="VSH103" s="1"/>
      <c r="VSI103" s="1"/>
      <c r="VSJ103" s="1"/>
      <c r="VSK103" s="1"/>
      <c r="VSL103" s="1"/>
      <c r="VSM103" s="1"/>
      <c r="VSN103" s="1"/>
      <c r="VSO103" s="1"/>
      <c r="VSP103" s="1"/>
      <c r="VSQ103" s="1"/>
      <c r="VSR103" s="1"/>
      <c r="VSS103" s="1"/>
      <c r="VST103" s="1"/>
      <c r="VSU103" s="1"/>
      <c r="VSV103" s="1"/>
      <c r="VSW103" s="1"/>
      <c r="VSX103" s="1"/>
      <c r="VSY103" s="1"/>
      <c r="VSZ103" s="1"/>
      <c r="VTA103" s="1"/>
      <c r="VTB103" s="1"/>
      <c r="VTC103" s="1"/>
      <c r="VTD103" s="1"/>
      <c r="VTE103" s="1"/>
      <c r="VTF103" s="1"/>
      <c r="VTG103" s="1"/>
      <c r="VTH103" s="1"/>
      <c r="VTI103" s="1"/>
      <c r="VTJ103" s="1"/>
      <c r="VTK103" s="1"/>
      <c r="VTL103" s="1"/>
      <c r="VTM103" s="1"/>
      <c r="VTN103" s="1"/>
      <c r="VTO103" s="1"/>
      <c r="VTP103" s="1"/>
      <c r="VTQ103" s="1"/>
      <c r="VTR103" s="1"/>
      <c r="VTS103" s="1"/>
      <c r="VTT103" s="1"/>
      <c r="VTU103" s="1"/>
      <c r="VTV103" s="1"/>
      <c r="VTW103" s="1"/>
      <c r="VTX103" s="1"/>
      <c r="VTY103" s="1"/>
      <c r="VTZ103" s="1"/>
      <c r="VUA103" s="1"/>
      <c r="VUB103" s="1"/>
      <c r="VUC103" s="1"/>
      <c r="VUD103" s="1"/>
      <c r="VUE103" s="1"/>
      <c r="VUF103" s="1"/>
      <c r="VUG103" s="1"/>
      <c r="VUH103" s="1"/>
      <c r="VUI103" s="1"/>
      <c r="VUJ103" s="1"/>
      <c r="VUK103" s="1"/>
      <c r="VUL103" s="1"/>
      <c r="VUM103" s="1"/>
      <c r="VUN103" s="1"/>
      <c r="VUO103" s="1"/>
      <c r="VUP103" s="1"/>
      <c r="VUQ103" s="1"/>
      <c r="VUR103" s="1"/>
      <c r="VUS103" s="1"/>
      <c r="VUT103" s="1"/>
      <c r="VUU103" s="1"/>
      <c r="VUV103" s="1"/>
      <c r="VUW103" s="1"/>
      <c r="VUX103" s="1"/>
      <c r="VUY103" s="1"/>
      <c r="VUZ103" s="1"/>
      <c r="VVA103" s="1"/>
      <c r="VVB103" s="1"/>
      <c r="VVC103" s="1"/>
      <c r="VVD103" s="1"/>
      <c r="VVE103" s="1"/>
      <c r="VVF103" s="1"/>
      <c r="VVG103" s="1"/>
      <c r="VVH103" s="1"/>
      <c r="VVI103" s="1"/>
      <c r="VVJ103" s="1"/>
      <c r="VVK103" s="1"/>
      <c r="VVL103" s="1"/>
      <c r="VVM103" s="1"/>
      <c r="VVN103" s="1"/>
      <c r="VVO103" s="1"/>
      <c r="VVP103" s="1"/>
      <c r="VVQ103" s="1"/>
      <c r="VVR103" s="1"/>
      <c r="VVS103" s="1"/>
      <c r="VVT103" s="1"/>
      <c r="VVU103" s="1"/>
      <c r="VVV103" s="1"/>
      <c r="VVW103" s="1"/>
      <c r="VVX103" s="1"/>
      <c r="VVY103" s="1"/>
      <c r="VVZ103" s="1"/>
      <c r="VWA103" s="1"/>
      <c r="VWB103" s="1"/>
      <c r="VWC103" s="1"/>
      <c r="VWD103" s="1"/>
      <c r="VWE103" s="1"/>
      <c r="VWF103" s="1"/>
      <c r="VWG103" s="1"/>
      <c r="VWH103" s="1"/>
      <c r="VWI103" s="1"/>
      <c r="VWJ103" s="1"/>
      <c r="VWK103" s="1"/>
      <c r="VWL103" s="1"/>
      <c r="VWM103" s="1"/>
      <c r="VWN103" s="1"/>
      <c r="VWO103" s="1"/>
      <c r="VWP103" s="1"/>
      <c r="VWQ103" s="1"/>
      <c r="VWR103" s="1"/>
      <c r="VWS103" s="1"/>
      <c r="VWT103" s="1"/>
      <c r="VWU103" s="1"/>
      <c r="VWV103" s="1"/>
      <c r="VWW103" s="1"/>
      <c r="VWX103" s="1"/>
      <c r="VWY103" s="1"/>
      <c r="VWZ103" s="1"/>
      <c r="VXA103" s="1"/>
      <c r="VXB103" s="1"/>
      <c r="VXC103" s="1"/>
      <c r="VXD103" s="1"/>
      <c r="VXE103" s="1"/>
      <c r="VXF103" s="1"/>
      <c r="VXG103" s="1"/>
      <c r="VXH103" s="1"/>
      <c r="VXI103" s="1"/>
      <c r="VXJ103" s="1"/>
      <c r="VXK103" s="1"/>
      <c r="VXL103" s="1"/>
      <c r="VXM103" s="1"/>
      <c r="VXN103" s="1"/>
      <c r="VXO103" s="1"/>
      <c r="VXP103" s="1"/>
      <c r="VXQ103" s="1"/>
      <c r="VXR103" s="1"/>
      <c r="VXS103" s="1"/>
      <c r="VXT103" s="1"/>
      <c r="VXU103" s="1"/>
      <c r="VXV103" s="1"/>
      <c r="VXW103" s="1"/>
      <c r="VXX103" s="1"/>
      <c r="VXY103" s="1"/>
      <c r="VXZ103" s="1"/>
      <c r="VYA103" s="1"/>
      <c r="VYB103" s="1"/>
      <c r="VYC103" s="1"/>
      <c r="VYD103" s="1"/>
      <c r="VYE103" s="1"/>
      <c r="VYF103" s="1"/>
      <c r="VYG103" s="1"/>
      <c r="VYH103" s="1"/>
      <c r="VYI103" s="1"/>
      <c r="VYJ103" s="1"/>
      <c r="VYK103" s="1"/>
      <c r="VYL103" s="1"/>
      <c r="VYM103" s="1"/>
      <c r="VYN103" s="1"/>
      <c r="VYO103" s="1"/>
      <c r="VYP103" s="1"/>
      <c r="VYQ103" s="1"/>
      <c r="VYR103" s="1"/>
      <c r="VYS103" s="1"/>
      <c r="VYT103" s="1"/>
      <c r="VYU103" s="1"/>
      <c r="VYV103" s="1"/>
      <c r="VZC103" s="1"/>
      <c r="VZD103" s="1"/>
      <c r="VZE103" s="1"/>
      <c r="VZF103" s="1"/>
      <c r="VZG103" s="1"/>
      <c r="VZH103" s="1"/>
      <c r="VZI103" s="1"/>
      <c r="VZJ103" s="1"/>
      <c r="VZK103" s="1"/>
      <c r="VZL103" s="1"/>
      <c r="VZM103" s="1"/>
      <c r="VZN103" s="1"/>
      <c r="VZO103" s="1"/>
      <c r="VZP103" s="1"/>
      <c r="VZQ103" s="1"/>
      <c r="VZR103" s="1"/>
      <c r="VZS103" s="1"/>
      <c r="VZT103" s="1"/>
      <c r="VZU103" s="1"/>
      <c r="VZV103" s="1"/>
      <c r="VZW103" s="1"/>
      <c r="VZX103" s="1"/>
      <c r="VZY103" s="1"/>
      <c r="VZZ103" s="1"/>
      <c r="WAA103" s="1"/>
      <c r="WAB103" s="1"/>
      <c r="WAC103" s="1"/>
      <c r="WAD103" s="1"/>
      <c r="WAE103" s="1"/>
      <c r="WAF103" s="1"/>
      <c r="WAG103" s="1"/>
      <c r="WAH103" s="1"/>
      <c r="WAI103" s="1"/>
      <c r="WAJ103" s="1"/>
      <c r="WAK103" s="1"/>
      <c r="WAL103" s="1"/>
      <c r="WAM103" s="1"/>
      <c r="WAN103" s="1"/>
      <c r="WAO103" s="1"/>
      <c r="WAP103" s="1"/>
      <c r="WAQ103" s="1"/>
      <c r="WAR103" s="1"/>
      <c r="WAS103" s="1"/>
      <c r="WAT103" s="1"/>
      <c r="WAU103" s="1"/>
      <c r="WAV103" s="1"/>
      <c r="WAW103" s="1"/>
      <c r="WAX103" s="1"/>
      <c r="WAY103" s="1"/>
      <c r="WAZ103" s="1"/>
      <c r="WBA103" s="1"/>
      <c r="WBB103" s="1"/>
      <c r="WBC103" s="1"/>
      <c r="WBD103" s="1"/>
      <c r="WBE103" s="1"/>
      <c r="WBF103" s="1"/>
      <c r="WBG103" s="1"/>
      <c r="WBH103" s="1"/>
      <c r="WBI103" s="1"/>
      <c r="WBJ103" s="1"/>
      <c r="WBK103" s="1"/>
      <c r="WBL103" s="1"/>
      <c r="WBM103" s="1"/>
      <c r="WBN103" s="1"/>
      <c r="WBO103" s="1"/>
      <c r="WBP103" s="1"/>
      <c r="WBQ103" s="1"/>
      <c r="WBR103" s="1"/>
      <c r="WBS103" s="1"/>
      <c r="WBT103" s="1"/>
      <c r="WBU103" s="1"/>
      <c r="WBV103" s="1"/>
      <c r="WBW103" s="1"/>
      <c r="WBX103" s="1"/>
      <c r="WBY103" s="1"/>
      <c r="WBZ103" s="1"/>
      <c r="WCA103" s="1"/>
      <c r="WCB103" s="1"/>
      <c r="WCC103" s="1"/>
      <c r="WCD103" s="1"/>
      <c r="WCE103" s="1"/>
      <c r="WCF103" s="1"/>
      <c r="WCG103" s="1"/>
      <c r="WCH103" s="1"/>
      <c r="WCI103" s="1"/>
      <c r="WCJ103" s="1"/>
      <c r="WCK103" s="1"/>
      <c r="WCL103" s="1"/>
      <c r="WCM103" s="1"/>
      <c r="WCN103" s="1"/>
      <c r="WCO103" s="1"/>
      <c r="WCP103" s="1"/>
      <c r="WCQ103" s="1"/>
      <c r="WCR103" s="1"/>
      <c r="WCS103" s="1"/>
      <c r="WCT103" s="1"/>
      <c r="WCU103" s="1"/>
      <c r="WCV103" s="1"/>
      <c r="WCW103" s="1"/>
      <c r="WCX103" s="1"/>
      <c r="WCY103" s="1"/>
      <c r="WCZ103" s="1"/>
      <c r="WDA103" s="1"/>
      <c r="WDB103" s="1"/>
      <c r="WDC103" s="1"/>
      <c r="WDD103" s="1"/>
      <c r="WDE103" s="1"/>
      <c r="WDF103" s="1"/>
      <c r="WDG103" s="1"/>
      <c r="WDH103" s="1"/>
      <c r="WDI103" s="1"/>
      <c r="WDJ103" s="1"/>
      <c r="WDK103" s="1"/>
      <c r="WDL103" s="1"/>
      <c r="WDM103" s="1"/>
      <c r="WDN103" s="1"/>
      <c r="WDO103" s="1"/>
      <c r="WDP103" s="1"/>
      <c r="WDQ103" s="1"/>
      <c r="WDR103" s="1"/>
      <c r="WDS103" s="1"/>
      <c r="WDT103" s="1"/>
      <c r="WDU103" s="1"/>
      <c r="WDV103" s="1"/>
      <c r="WDW103" s="1"/>
      <c r="WDX103" s="1"/>
      <c r="WDY103" s="1"/>
      <c r="WDZ103" s="1"/>
      <c r="WEA103" s="1"/>
      <c r="WEB103" s="1"/>
      <c r="WEC103" s="1"/>
      <c r="WED103" s="1"/>
      <c r="WEE103" s="1"/>
      <c r="WEF103" s="1"/>
      <c r="WEG103" s="1"/>
      <c r="WEH103" s="1"/>
      <c r="WEI103" s="1"/>
      <c r="WEJ103" s="1"/>
      <c r="WEK103" s="1"/>
      <c r="WEL103" s="1"/>
      <c r="WEM103" s="1"/>
      <c r="WEN103" s="1"/>
      <c r="WEO103" s="1"/>
      <c r="WEP103" s="1"/>
      <c r="WEQ103" s="1"/>
      <c r="WER103" s="1"/>
      <c r="WES103" s="1"/>
      <c r="WET103" s="1"/>
      <c r="WEU103" s="1"/>
      <c r="WEV103" s="1"/>
      <c r="WEW103" s="1"/>
      <c r="WEX103" s="1"/>
      <c r="WEY103" s="1"/>
      <c r="WEZ103" s="1"/>
      <c r="WFA103" s="1"/>
      <c r="WFB103" s="1"/>
      <c r="WFC103" s="1"/>
      <c r="WFD103" s="1"/>
      <c r="WFE103" s="1"/>
      <c r="WFF103" s="1"/>
      <c r="WFG103" s="1"/>
      <c r="WFH103" s="1"/>
      <c r="WFI103" s="1"/>
      <c r="WFJ103" s="1"/>
      <c r="WFK103" s="1"/>
      <c r="WFL103" s="1"/>
      <c r="WFM103" s="1"/>
      <c r="WFN103" s="1"/>
      <c r="WFO103" s="1"/>
      <c r="WFP103" s="1"/>
      <c r="WFQ103" s="1"/>
      <c r="WFR103" s="1"/>
      <c r="WFS103" s="1"/>
      <c r="WFT103" s="1"/>
      <c r="WFU103" s="1"/>
      <c r="WFV103" s="1"/>
      <c r="WFW103" s="1"/>
      <c r="WFX103" s="1"/>
      <c r="WFY103" s="1"/>
      <c r="WFZ103" s="1"/>
      <c r="WGA103" s="1"/>
      <c r="WGB103" s="1"/>
      <c r="WGC103" s="1"/>
      <c r="WGD103" s="1"/>
      <c r="WGE103" s="1"/>
      <c r="WGF103" s="1"/>
      <c r="WGG103" s="1"/>
      <c r="WGH103" s="1"/>
      <c r="WGI103" s="1"/>
      <c r="WGJ103" s="1"/>
      <c r="WGK103" s="1"/>
      <c r="WGL103" s="1"/>
      <c r="WGM103" s="1"/>
      <c r="WGN103" s="1"/>
      <c r="WGO103" s="1"/>
      <c r="WGP103" s="1"/>
      <c r="WGQ103" s="1"/>
      <c r="WGR103" s="1"/>
      <c r="WGS103" s="1"/>
      <c r="WGT103" s="1"/>
      <c r="WGU103" s="1"/>
      <c r="WGV103" s="1"/>
      <c r="WGW103" s="1"/>
      <c r="WGX103" s="1"/>
      <c r="WGY103" s="1"/>
      <c r="WGZ103" s="1"/>
      <c r="WHA103" s="1"/>
      <c r="WHB103" s="1"/>
      <c r="WHC103" s="1"/>
      <c r="WHD103" s="1"/>
      <c r="WHE103" s="1"/>
      <c r="WHF103" s="1"/>
      <c r="WHG103" s="1"/>
      <c r="WHH103" s="1"/>
      <c r="WHI103" s="1"/>
      <c r="WHJ103" s="1"/>
      <c r="WHK103" s="1"/>
      <c r="WHL103" s="1"/>
      <c r="WHM103" s="1"/>
      <c r="WHN103" s="1"/>
      <c r="WHO103" s="1"/>
      <c r="WHP103" s="1"/>
      <c r="WHQ103" s="1"/>
      <c r="WHR103" s="1"/>
      <c r="WHS103" s="1"/>
      <c r="WHT103" s="1"/>
      <c r="WHU103" s="1"/>
      <c r="WHV103" s="1"/>
      <c r="WHW103" s="1"/>
      <c r="WHX103" s="1"/>
      <c r="WHY103" s="1"/>
      <c r="WHZ103" s="1"/>
      <c r="WIA103" s="1"/>
      <c r="WIB103" s="1"/>
      <c r="WIC103" s="1"/>
      <c r="WID103" s="1"/>
      <c r="WIE103" s="1"/>
      <c r="WIF103" s="1"/>
      <c r="WIG103" s="1"/>
      <c r="WIH103" s="1"/>
      <c r="WII103" s="1"/>
      <c r="WIJ103" s="1"/>
      <c r="WIK103" s="1"/>
      <c r="WIL103" s="1"/>
      <c r="WIM103" s="1"/>
      <c r="WIN103" s="1"/>
      <c r="WIO103" s="1"/>
      <c r="WIP103" s="1"/>
      <c r="WIQ103" s="1"/>
      <c r="WIR103" s="1"/>
      <c r="WIY103" s="1"/>
      <c r="WIZ103" s="1"/>
      <c r="WJA103" s="1"/>
      <c r="WJB103" s="1"/>
      <c r="WJC103" s="1"/>
      <c r="WJD103" s="1"/>
      <c r="WJE103" s="1"/>
      <c r="WJF103" s="1"/>
      <c r="WJG103" s="1"/>
      <c r="WJH103" s="1"/>
      <c r="WJI103" s="1"/>
      <c r="WJJ103" s="1"/>
      <c r="WJK103" s="1"/>
      <c r="WJL103" s="1"/>
      <c r="WJM103" s="1"/>
      <c r="WJN103" s="1"/>
      <c r="WJO103" s="1"/>
      <c r="WJP103" s="1"/>
      <c r="WJQ103" s="1"/>
      <c r="WJR103" s="1"/>
      <c r="WJS103" s="1"/>
      <c r="WJT103" s="1"/>
      <c r="WJU103" s="1"/>
      <c r="WJV103" s="1"/>
      <c r="WJW103" s="1"/>
      <c r="WJX103" s="1"/>
      <c r="WJY103" s="1"/>
      <c r="WJZ103" s="1"/>
      <c r="WKA103" s="1"/>
      <c r="WKB103" s="1"/>
      <c r="WKC103" s="1"/>
      <c r="WKD103" s="1"/>
      <c r="WKE103" s="1"/>
      <c r="WKF103" s="1"/>
      <c r="WKG103" s="1"/>
      <c r="WKH103" s="1"/>
      <c r="WKI103" s="1"/>
      <c r="WKJ103" s="1"/>
      <c r="WKK103" s="1"/>
      <c r="WKL103" s="1"/>
      <c r="WKM103" s="1"/>
      <c r="WKN103" s="1"/>
      <c r="WKO103" s="1"/>
      <c r="WKP103" s="1"/>
      <c r="WKQ103" s="1"/>
      <c r="WKR103" s="1"/>
      <c r="WKS103" s="1"/>
      <c r="WKT103" s="1"/>
      <c r="WKU103" s="1"/>
      <c r="WKV103" s="1"/>
      <c r="WKW103" s="1"/>
      <c r="WKX103" s="1"/>
      <c r="WKY103" s="1"/>
      <c r="WKZ103" s="1"/>
      <c r="WLA103" s="1"/>
      <c r="WLB103" s="1"/>
      <c r="WLC103" s="1"/>
      <c r="WLD103" s="1"/>
      <c r="WLE103" s="1"/>
      <c r="WLF103" s="1"/>
      <c r="WLG103" s="1"/>
      <c r="WLH103" s="1"/>
      <c r="WLI103" s="1"/>
      <c r="WLJ103" s="1"/>
      <c r="WLK103" s="1"/>
      <c r="WLL103" s="1"/>
      <c r="WLM103" s="1"/>
      <c r="WLN103" s="1"/>
      <c r="WLO103" s="1"/>
      <c r="WLP103" s="1"/>
      <c r="WLQ103" s="1"/>
      <c r="WLR103" s="1"/>
      <c r="WLS103" s="1"/>
      <c r="WLT103" s="1"/>
      <c r="WLU103" s="1"/>
      <c r="WLV103" s="1"/>
      <c r="WLW103" s="1"/>
      <c r="WLX103" s="1"/>
      <c r="WLY103" s="1"/>
      <c r="WLZ103" s="1"/>
      <c r="WMA103" s="1"/>
      <c r="WMB103" s="1"/>
      <c r="WMC103" s="1"/>
      <c r="WMD103" s="1"/>
      <c r="WME103" s="1"/>
      <c r="WMF103" s="1"/>
      <c r="WMG103" s="1"/>
      <c r="WMH103" s="1"/>
      <c r="WMI103" s="1"/>
      <c r="WMJ103" s="1"/>
      <c r="WMK103" s="1"/>
      <c r="WML103" s="1"/>
      <c r="WMM103" s="1"/>
      <c r="WMN103" s="1"/>
      <c r="WMO103" s="1"/>
      <c r="WMP103" s="1"/>
      <c r="WMQ103" s="1"/>
      <c r="WMR103" s="1"/>
      <c r="WMS103" s="1"/>
      <c r="WMT103" s="1"/>
      <c r="WMU103" s="1"/>
      <c r="WMV103" s="1"/>
      <c r="WMW103" s="1"/>
      <c r="WMX103" s="1"/>
      <c r="WMY103" s="1"/>
      <c r="WMZ103" s="1"/>
      <c r="WNA103" s="1"/>
      <c r="WNB103" s="1"/>
      <c r="WNC103" s="1"/>
      <c r="WND103" s="1"/>
      <c r="WNE103" s="1"/>
      <c r="WNF103" s="1"/>
      <c r="WNG103" s="1"/>
      <c r="WNH103" s="1"/>
      <c r="WNI103" s="1"/>
      <c r="WNJ103" s="1"/>
      <c r="WNK103" s="1"/>
      <c r="WNL103" s="1"/>
      <c r="WNM103" s="1"/>
      <c r="WNN103" s="1"/>
      <c r="WNO103" s="1"/>
      <c r="WNP103" s="1"/>
      <c r="WNQ103" s="1"/>
      <c r="WNR103" s="1"/>
      <c r="WNS103" s="1"/>
      <c r="WNT103" s="1"/>
      <c r="WNU103" s="1"/>
      <c r="WNV103" s="1"/>
      <c r="WNW103" s="1"/>
      <c r="WNX103" s="1"/>
      <c r="WNY103" s="1"/>
      <c r="WNZ103" s="1"/>
      <c r="WOA103" s="1"/>
      <c r="WOB103" s="1"/>
      <c r="WOC103" s="1"/>
      <c r="WOD103" s="1"/>
      <c r="WOE103" s="1"/>
      <c r="WOF103" s="1"/>
      <c r="WOG103" s="1"/>
      <c r="WOH103" s="1"/>
      <c r="WOI103" s="1"/>
      <c r="WOJ103" s="1"/>
      <c r="WOK103" s="1"/>
      <c r="WOL103" s="1"/>
      <c r="WOM103" s="1"/>
      <c r="WON103" s="1"/>
      <c r="WOO103" s="1"/>
      <c r="WOP103" s="1"/>
      <c r="WOQ103" s="1"/>
      <c r="WOR103" s="1"/>
      <c r="WOS103" s="1"/>
      <c r="WOT103" s="1"/>
      <c r="WOU103" s="1"/>
      <c r="WOV103" s="1"/>
      <c r="WOW103" s="1"/>
      <c r="WOX103" s="1"/>
      <c r="WOY103" s="1"/>
      <c r="WOZ103" s="1"/>
      <c r="WPA103" s="1"/>
      <c r="WPB103" s="1"/>
      <c r="WPC103" s="1"/>
      <c r="WPD103" s="1"/>
      <c r="WPE103" s="1"/>
      <c r="WPF103" s="1"/>
      <c r="WPG103" s="1"/>
      <c r="WPH103" s="1"/>
      <c r="WPI103" s="1"/>
      <c r="WPJ103" s="1"/>
      <c r="WPK103" s="1"/>
      <c r="WPL103" s="1"/>
      <c r="WPM103" s="1"/>
      <c r="WPN103" s="1"/>
      <c r="WPO103" s="1"/>
      <c r="WPP103" s="1"/>
      <c r="WPQ103" s="1"/>
      <c r="WPR103" s="1"/>
      <c r="WPS103" s="1"/>
      <c r="WPT103" s="1"/>
      <c r="WPU103" s="1"/>
      <c r="WPV103" s="1"/>
      <c r="WPW103" s="1"/>
      <c r="WPX103" s="1"/>
      <c r="WPY103" s="1"/>
      <c r="WPZ103" s="1"/>
      <c r="WQA103" s="1"/>
      <c r="WQB103" s="1"/>
      <c r="WQC103" s="1"/>
      <c r="WQD103" s="1"/>
      <c r="WQE103" s="1"/>
      <c r="WQF103" s="1"/>
      <c r="WQG103" s="1"/>
      <c r="WQH103" s="1"/>
      <c r="WQI103" s="1"/>
      <c r="WQJ103" s="1"/>
      <c r="WQK103" s="1"/>
      <c r="WQL103" s="1"/>
      <c r="WQM103" s="1"/>
      <c r="WQN103" s="1"/>
      <c r="WQO103" s="1"/>
      <c r="WQP103" s="1"/>
      <c r="WQQ103" s="1"/>
      <c r="WQR103" s="1"/>
      <c r="WQS103" s="1"/>
      <c r="WQT103" s="1"/>
      <c r="WQU103" s="1"/>
      <c r="WQV103" s="1"/>
      <c r="WQW103" s="1"/>
      <c r="WQX103" s="1"/>
      <c r="WQY103" s="1"/>
      <c r="WQZ103" s="1"/>
      <c r="WRA103" s="1"/>
      <c r="WRB103" s="1"/>
      <c r="WRC103" s="1"/>
      <c r="WRD103" s="1"/>
      <c r="WRE103" s="1"/>
      <c r="WRF103" s="1"/>
      <c r="WRG103" s="1"/>
      <c r="WRH103" s="1"/>
      <c r="WRI103" s="1"/>
      <c r="WRJ103" s="1"/>
      <c r="WRK103" s="1"/>
      <c r="WRL103" s="1"/>
      <c r="WRM103" s="1"/>
      <c r="WRN103" s="1"/>
      <c r="WRO103" s="1"/>
      <c r="WRP103" s="1"/>
      <c r="WRQ103" s="1"/>
      <c r="WRR103" s="1"/>
      <c r="WRS103" s="1"/>
      <c r="WRT103" s="1"/>
      <c r="WRU103" s="1"/>
      <c r="WRV103" s="1"/>
      <c r="WRW103" s="1"/>
      <c r="WRX103" s="1"/>
      <c r="WRY103" s="1"/>
      <c r="WRZ103" s="1"/>
      <c r="WSA103" s="1"/>
      <c r="WSB103" s="1"/>
      <c r="WSC103" s="1"/>
      <c r="WSD103" s="1"/>
      <c r="WSE103" s="1"/>
      <c r="WSF103" s="1"/>
      <c r="WSG103" s="1"/>
      <c r="WSH103" s="1"/>
      <c r="WSI103" s="1"/>
      <c r="WSJ103" s="1"/>
      <c r="WSK103" s="1"/>
      <c r="WSL103" s="1"/>
      <c r="WSM103" s="1"/>
      <c r="WSN103" s="1"/>
      <c r="WSU103" s="1"/>
      <c r="WSV103" s="1"/>
      <c r="WSW103" s="1"/>
      <c r="WSX103" s="1"/>
      <c r="WSY103" s="1"/>
      <c r="WSZ103" s="1"/>
      <c r="WTA103" s="1"/>
      <c r="WTB103" s="1"/>
      <c r="WTC103" s="1"/>
      <c r="WTD103" s="1"/>
      <c r="WTE103" s="1"/>
      <c r="WTF103" s="1"/>
      <c r="WTG103" s="1"/>
      <c r="WTH103" s="1"/>
      <c r="WTI103" s="1"/>
      <c r="WTJ103" s="1"/>
      <c r="WTK103" s="1"/>
      <c r="WTL103" s="1"/>
      <c r="WTM103" s="1"/>
      <c r="WTN103" s="1"/>
      <c r="WTO103" s="1"/>
      <c r="WTP103" s="1"/>
      <c r="WTQ103" s="1"/>
      <c r="WTR103" s="1"/>
      <c r="WTS103" s="1"/>
      <c r="WTT103" s="1"/>
      <c r="WTU103" s="1"/>
      <c r="WTV103" s="1"/>
      <c r="WTW103" s="1"/>
      <c r="WTX103" s="1"/>
      <c r="WTY103" s="1"/>
      <c r="WTZ103" s="1"/>
      <c r="WUA103" s="1"/>
      <c r="WUB103" s="1"/>
      <c r="WUC103" s="1"/>
      <c r="WUD103" s="1"/>
      <c r="WUE103" s="1"/>
      <c r="WUF103" s="1"/>
      <c r="WUG103" s="1"/>
      <c r="WUH103" s="1"/>
      <c r="WUI103" s="1"/>
      <c r="WUJ103" s="1"/>
      <c r="WUK103" s="1"/>
      <c r="WUL103" s="1"/>
      <c r="WUM103" s="1"/>
      <c r="WUN103" s="1"/>
      <c r="WUO103" s="1"/>
      <c r="WUP103" s="1"/>
      <c r="WUQ103" s="1"/>
      <c r="WUR103" s="1"/>
      <c r="WUS103" s="1"/>
      <c r="WUT103" s="1"/>
      <c r="WUU103" s="1"/>
      <c r="WUV103" s="1"/>
      <c r="WUW103" s="1"/>
      <c r="WUX103" s="1"/>
      <c r="WUY103" s="1"/>
      <c r="WUZ103" s="1"/>
      <c r="WVA103" s="1"/>
      <c r="WVB103" s="1"/>
      <c r="WVC103" s="1"/>
      <c r="WVD103" s="1"/>
      <c r="WVE103" s="1"/>
      <c r="WVF103" s="1"/>
      <c r="WVG103" s="1"/>
      <c r="WVH103" s="1"/>
      <c r="WVI103" s="1"/>
      <c r="WVJ103" s="1"/>
      <c r="WVK103" s="1"/>
      <c r="WVL103" s="1"/>
      <c r="WVM103" s="1"/>
      <c r="WVN103" s="1"/>
      <c r="WVO103" s="1"/>
      <c r="WVP103" s="1"/>
      <c r="WVQ103" s="1"/>
      <c r="WVR103" s="1"/>
      <c r="WVS103" s="1"/>
      <c r="WVT103" s="1"/>
      <c r="WVU103" s="1"/>
      <c r="WVV103" s="1"/>
      <c r="WVW103" s="1"/>
      <c r="WVX103" s="1"/>
      <c r="WVY103" s="1"/>
      <c r="WVZ103" s="1"/>
      <c r="WWA103" s="1"/>
      <c r="WWB103" s="1"/>
      <c r="WWC103" s="1"/>
      <c r="WWD103" s="1"/>
      <c r="WWE103" s="1"/>
      <c r="WWF103" s="1"/>
      <c r="WWG103" s="1"/>
      <c r="WWH103" s="1"/>
      <c r="WWI103" s="1"/>
      <c r="WWJ103" s="1"/>
      <c r="WWK103" s="1"/>
      <c r="WWL103" s="1"/>
      <c r="WWM103" s="1"/>
      <c r="WWN103" s="1"/>
      <c r="WWO103" s="1"/>
      <c r="WWP103" s="1"/>
      <c r="WWQ103" s="1"/>
      <c r="WWR103" s="1"/>
      <c r="WWS103" s="1"/>
      <c r="WWT103" s="1"/>
      <c r="WWU103" s="1"/>
      <c r="WWV103" s="1"/>
      <c r="WWW103" s="1"/>
      <c r="WWX103" s="1"/>
      <c r="WWY103" s="1"/>
      <c r="WWZ103" s="1"/>
      <c r="WXA103" s="1"/>
      <c r="WXB103" s="1"/>
      <c r="WXC103" s="1"/>
      <c r="WXD103" s="1"/>
      <c r="WXE103" s="1"/>
      <c r="WXF103" s="1"/>
      <c r="WXG103" s="1"/>
      <c r="WXH103" s="1"/>
      <c r="WXI103" s="1"/>
      <c r="WXJ103" s="1"/>
      <c r="WXK103" s="1"/>
      <c r="WXL103" s="1"/>
      <c r="WXM103" s="1"/>
      <c r="WXN103" s="1"/>
      <c r="WXO103" s="1"/>
      <c r="WXP103" s="1"/>
      <c r="WXQ103" s="1"/>
      <c r="WXR103" s="1"/>
      <c r="WXS103" s="1"/>
      <c r="WXT103" s="1"/>
      <c r="WXU103" s="1"/>
      <c r="WXV103" s="1"/>
      <c r="WXW103" s="1"/>
      <c r="WXX103" s="1"/>
      <c r="WXY103" s="1"/>
      <c r="WXZ103" s="1"/>
      <c r="WYA103" s="1"/>
      <c r="WYB103" s="1"/>
      <c r="WYC103" s="1"/>
      <c r="WYD103" s="1"/>
      <c r="WYE103" s="1"/>
      <c r="WYF103" s="1"/>
      <c r="WYG103" s="1"/>
      <c r="WYH103" s="1"/>
      <c r="WYI103" s="1"/>
      <c r="WYJ103" s="1"/>
      <c r="WYK103" s="1"/>
      <c r="WYL103" s="1"/>
      <c r="WYM103" s="1"/>
      <c r="WYN103" s="1"/>
      <c r="WYO103" s="1"/>
      <c r="WYP103" s="1"/>
      <c r="WYQ103" s="1"/>
      <c r="WYR103" s="1"/>
      <c r="WYS103" s="1"/>
      <c r="WYT103" s="1"/>
      <c r="WYU103" s="1"/>
      <c r="WYV103" s="1"/>
      <c r="WYW103" s="1"/>
      <c r="WYX103" s="1"/>
      <c r="WYY103" s="1"/>
      <c r="WYZ103" s="1"/>
      <c r="WZA103" s="1"/>
      <c r="WZB103" s="1"/>
      <c r="WZC103" s="1"/>
      <c r="WZD103" s="1"/>
      <c r="WZE103" s="1"/>
      <c r="WZF103" s="1"/>
      <c r="WZG103" s="1"/>
      <c r="WZH103" s="1"/>
      <c r="WZI103" s="1"/>
      <c r="WZJ103" s="1"/>
      <c r="WZK103" s="1"/>
      <c r="WZL103" s="1"/>
      <c r="WZM103" s="1"/>
      <c r="WZN103" s="1"/>
      <c r="WZO103" s="1"/>
      <c r="WZP103" s="1"/>
      <c r="WZQ103" s="1"/>
      <c r="WZR103" s="1"/>
      <c r="WZS103" s="1"/>
      <c r="WZT103" s="1"/>
      <c r="WZU103" s="1"/>
      <c r="WZV103" s="1"/>
      <c r="WZW103" s="1"/>
      <c r="WZX103" s="1"/>
      <c r="WZY103" s="1"/>
      <c r="WZZ103" s="1"/>
      <c r="XAA103" s="1"/>
      <c r="XAB103" s="1"/>
      <c r="XAC103" s="1"/>
      <c r="XAD103" s="1"/>
      <c r="XAE103" s="1"/>
      <c r="XAF103" s="1"/>
      <c r="XAG103" s="1"/>
      <c r="XAH103" s="1"/>
      <c r="XAI103" s="1"/>
      <c r="XAJ103" s="1"/>
      <c r="XAK103" s="1"/>
      <c r="XAL103" s="1"/>
      <c r="XAM103" s="1"/>
      <c r="XAN103" s="1"/>
      <c r="XAO103" s="1"/>
      <c r="XAP103" s="1"/>
      <c r="XAQ103" s="1"/>
      <c r="XAR103" s="1"/>
      <c r="XAS103" s="1"/>
      <c r="XAT103" s="1"/>
      <c r="XAU103" s="1"/>
      <c r="XAV103" s="1"/>
      <c r="XAW103" s="1"/>
      <c r="XAX103" s="1"/>
      <c r="XAY103" s="1"/>
      <c r="XAZ103" s="1"/>
      <c r="XBA103" s="1"/>
      <c r="XBB103" s="1"/>
      <c r="XBC103" s="1"/>
      <c r="XBD103" s="1"/>
      <c r="XBE103" s="1"/>
      <c r="XBF103" s="1"/>
      <c r="XBG103" s="1"/>
      <c r="XBH103" s="1"/>
      <c r="XBI103" s="1"/>
      <c r="XBJ103" s="1"/>
      <c r="XBK103" s="1"/>
      <c r="XBL103" s="1"/>
      <c r="XBM103" s="1"/>
      <c r="XBN103" s="1"/>
      <c r="XBO103" s="1"/>
      <c r="XBP103" s="1"/>
      <c r="XBQ103" s="1"/>
      <c r="XBR103" s="1"/>
      <c r="XBS103" s="1"/>
      <c r="XBT103" s="1"/>
      <c r="XBU103" s="1"/>
      <c r="XBV103" s="1"/>
      <c r="XBW103" s="1"/>
      <c r="XBX103" s="1"/>
      <c r="XBY103" s="1"/>
      <c r="XBZ103" s="1"/>
      <c r="XCA103" s="1"/>
      <c r="XCB103" s="1"/>
      <c r="XCC103" s="1"/>
      <c r="XCD103" s="1"/>
      <c r="XCE103" s="1"/>
    </row>
    <row r="104" spans="1:16307" ht="31.5" x14ac:dyDescent="0.25">
      <c r="A104" s="67" t="s">
        <v>190</v>
      </c>
      <c r="B104" s="89">
        <v>7100000000</v>
      </c>
      <c r="C104" s="89"/>
      <c r="D104" s="74">
        <f>D105</f>
        <v>18677135.25</v>
      </c>
      <c r="E104" s="74">
        <f>E105</f>
        <v>29482310.27</v>
      </c>
      <c r="F104" s="74">
        <f>F105</f>
        <v>30661602.690000001</v>
      </c>
    </row>
    <row r="105" spans="1:16307" s="64" customFormat="1" ht="15.75" x14ac:dyDescent="0.25">
      <c r="A105" s="79" t="s">
        <v>478</v>
      </c>
      <c r="B105" s="86">
        <v>7130000000</v>
      </c>
      <c r="C105" s="86"/>
      <c r="D105" s="77">
        <f>SUM(D106:D107)</f>
        <v>18677135.25</v>
      </c>
      <c r="E105" s="77">
        <f>SUM(E106:E107)</f>
        <v>29482310.27</v>
      </c>
      <c r="F105" s="77">
        <f>SUM(F106:F107)</f>
        <v>30661602.690000001</v>
      </c>
      <c r="GC105" s="66"/>
      <c r="GD105" s="66"/>
      <c r="GE105" s="66"/>
      <c r="GF105" s="66"/>
      <c r="GG105" s="66"/>
      <c r="GH105" s="66"/>
      <c r="PY105" s="66"/>
      <c r="PZ105" s="66"/>
      <c r="QA105" s="66"/>
      <c r="QB105" s="66"/>
      <c r="QC105" s="66"/>
      <c r="QD105" s="66"/>
      <c r="ZU105" s="66"/>
      <c r="ZV105" s="66"/>
      <c r="ZW105" s="66"/>
      <c r="ZX105" s="66"/>
      <c r="ZY105" s="66"/>
      <c r="ZZ105" s="66"/>
      <c r="AJQ105" s="66"/>
      <c r="AJR105" s="66"/>
      <c r="AJS105" s="66"/>
      <c r="AJT105" s="66"/>
      <c r="AJU105" s="66"/>
      <c r="AJV105" s="66"/>
      <c r="ATM105" s="66"/>
      <c r="ATN105" s="66"/>
      <c r="ATO105" s="66"/>
      <c r="ATP105" s="66"/>
      <c r="ATQ105" s="66"/>
      <c r="ATR105" s="66"/>
      <c r="BDI105" s="66"/>
      <c r="BDJ105" s="66"/>
      <c r="BDK105" s="66"/>
      <c r="BDL105" s="66"/>
      <c r="BDM105" s="66"/>
      <c r="BDN105" s="66"/>
      <c r="BNE105" s="66"/>
      <c r="BNF105" s="66"/>
      <c r="BNG105" s="66"/>
      <c r="BNH105" s="66"/>
      <c r="BNI105" s="66"/>
      <c r="BNJ105" s="66"/>
      <c r="BXA105" s="66"/>
      <c r="BXB105" s="66"/>
      <c r="BXC105" s="66"/>
      <c r="BXD105" s="66"/>
      <c r="BXE105" s="66"/>
      <c r="BXF105" s="66"/>
      <c r="CGW105" s="66"/>
      <c r="CGX105" s="66"/>
      <c r="CGY105" s="66"/>
      <c r="CGZ105" s="66"/>
      <c r="CHA105" s="66"/>
      <c r="CHB105" s="66"/>
      <c r="CQS105" s="66"/>
      <c r="CQT105" s="66"/>
      <c r="CQU105" s="66"/>
      <c r="CQV105" s="66"/>
      <c r="CQW105" s="66"/>
      <c r="CQX105" s="66"/>
      <c r="DAO105" s="66"/>
      <c r="DAP105" s="66"/>
      <c r="DAQ105" s="66"/>
      <c r="DAR105" s="66"/>
      <c r="DAS105" s="66"/>
      <c r="DAT105" s="66"/>
      <c r="DKK105" s="66"/>
      <c r="DKL105" s="66"/>
      <c r="DKM105" s="66"/>
      <c r="DKN105" s="66"/>
      <c r="DKO105" s="66"/>
      <c r="DKP105" s="66"/>
      <c r="DUG105" s="66"/>
      <c r="DUH105" s="66"/>
      <c r="DUI105" s="66"/>
      <c r="DUJ105" s="66"/>
      <c r="DUK105" s="66"/>
      <c r="DUL105" s="66"/>
      <c r="EEC105" s="66"/>
      <c r="EED105" s="66"/>
      <c r="EEE105" s="66"/>
      <c r="EEF105" s="66"/>
      <c r="EEG105" s="66"/>
      <c r="EEH105" s="66"/>
      <c r="ENY105" s="66"/>
      <c r="ENZ105" s="66"/>
      <c r="EOA105" s="66"/>
      <c r="EOB105" s="66"/>
      <c r="EOC105" s="66"/>
      <c r="EOD105" s="66"/>
      <c r="EXU105" s="66"/>
      <c r="EXV105" s="66"/>
      <c r="EXW105" s="66"/>
      <c r="EXX105" s="66"/>
      <c r="EXY105" s="66"/>
      <c r="EXZ105" s="66"/>
      <c r="FHQ105" s="66"/>
      <c r="FHR105" s="66"/>
      <c r="FHS105" s="66"/>
      <c r="FHT105" s="66"/>
      <c r="FHU105" s="66"/>
      <c r="FHV105" s="66"/>
      <c r="FRM105" s="66"/>
      <c r="FRN105" s="66"/>
      <c r="FRO105" s="66"/>
      <c r="FRP105" s="66"/>
      <c r="FRQ105" s="66"/>
      <c r="FRR105" s="66"/>
      <c r="GBI105" s="66"/>
      <c r="GBJ105" s="66"/>
      <c r="GBK105" s="66"/>
      <c r="GBL105" s="66"/>
      <c r="GBM105" s="66"/>
      <c r="GBN105" s="66"/>
      <c r="GLE105" s="66"/>
      <c r="GLF105" s="66"/>
      <c r="GLG105" s="66"/>
      <c r="GLH105" s="66"/>
      <c r="GLI105" s="66"/>
      <c r="GLJ105" s="66"/>
      <c r="GVA105" s="66"/>
      <c r="GVB105" s="66"/>
      <c r="GVC105" s="66"/>
      <c r="GVD105" s="66"/>
      <c r="GVE105" s="66"/>
      <c r="GVF105" s="66"/>
      <c r="HEW105" s="66"/>
      <c r="HEX105" s="66"/>
      <c r="HEY105" s="66"/>
      <c r="HEZ105" s="66"/>
      <c r="HFA105" s="66"/>
      <c r="HFB105" s="66"/>
      <c r="HOS105" s="66"/>
      <c r="HOT105" s="66"/>
      <c r="HOU105" s="66"/>
      <c r="HOV105" s="66"/>
      <c r="HOW105" s="66"/>
      <c r="HOX105" s="66"/>
      <c r="HYO105" s="66"/>
      <c r="HYP105" s="66"/>
      <c r="HYQ105" s="66"/>
      <c r="HYR105" s="66"/>
      <c r="HYS105" s="66"/>
      <c r="HYT105" s="66"/>
      <c r="IIK105" s="66"/>
      <c r="IIL105" s="66"/>
      <c r="IIM105" s="66"/>
      <c r="IIN105" s="66"/>
      <c r="IIO105" s="66"/>
      <c r="IIP105" s="66"/>
      <c r="ISG105" s="66"/>
      <c r="ISH105" s="66"/>
      <c r="ISI105" s="66"/>
      <c r="ISJ105" s="66"/>
      <c r="ISK105" s="66"/>
      <c r="ISL105" s="66"/>
      <c r="JCC105" s="66"/>
      <c r="JCD105" s="66"/>
      <c r="JCE105" s="66"/>
      <c r="JCF105" s="66"/>
      <c r="JCG105" s="66"/>
      <c r="JCH105" s="66"/>
      <c r="JLY105" s="66"/>
      <c r="JLZ105" s="66"/>
      <c r="JMA105" s="66"/>
      <c r="JMB105" s="66"/>
      <c r="JMC105" s="66"/>
      <c r="JMD105" s="66"/>
      <c r="JVU105" s="66"/>
      <c r="JVV105" s="66"/>
      <c r="JVW105" s="66"/>
      <c r="JVX105" s="66"/>
      <c r="JVY105" s="66"/>
      <c r="JVZ105" s="66"/>
      <c r="KFQ105" s="66"/>
      <c r="KFR105" s="66"/>
      <c r="KFS105" s="66"/>
      <c r="KFT105" s="66"/>
      <c r="KFU105" s="66"/>
      <c r="KFV105" s="66"/>
      <c r="KPM105" s="66"/>
      <c r="KPN105" s="66"/>
      <c r="KPO105" s="66"/>
      <c r="KPP105" s="66"/>
      <c r="KPQ105" s="66"/>
      <c r="KPR105" s="66"/>
      <c r="KZI105" s="66"/>
      <c r="KZJ105" s="66"/>
      <c r="KZK105" s="66"/>
      <c r="KZL105" s="66"/>
      <c r="KZM105" s="66"/>
      <c r="KZN105" s="66"/>
      <c r="LJE105" s="66"/>
      <c r="LJF105" s="66"/>
      <c r="LJG105" s="66"/>
      <c r="LJH105" s="66"/>
      <c r="LJI105" s="66"/>
      <c r="LJJ105" s="66"/>
      <c r="LTA105" s="66"/>
      <c r="LTB105" s="66"/>
      <c r="LTC105" s="66"/>
      <c r="LTD105" s="66"/>
      <c r="LTE105" s="66"/>
      <c r="LTF105" s="66"/>
      <c r="MCW105" s="66"/>
      <c r="MCX105" s="66"/>
      <c r="MCY105" s="66"/>
      <c r="MCZ105" s="66"/>
      <c r="MDA105" s="66"/>
      <c r="MDB105" s="66"/>
      <c r="MMS105" s="66"/>
      <c r="MMT105" s="66"/>
      <c r="MMU105" s="66"/>
      <c r="MMV105" s="66"/>
      <c r="MMW105" s="66"/>
      <c r="MMX105" s="66"/>
      <c r="MWO105" s="66"/>
      <c r="MWP105" s="66"/>
      <c r="MWQ105" s="66"/>
      <c r="MWR105" s="66"/>
      <c r="MWS105" s="66"/>
      <c r="MWT105" s="66"/>
      <c r="NGK105" s="66"/>
      <c r="NGL105" s="66"/>
      <c r="NGM105" s="66"/>
      <c r="NGN105" s="66"/>
      <c r="NGO105" s="66"/>
      <c r="NGP105" s="66"/>
      <c r="NQG105" s="66"/>
      <c r="NQH105" s="66"/>
      <c r="NQI105" s="66"/>
      <c r="NQJ105" s="66"/>
      <c r="NQK105" s="66"/>
      <c r="NQL105" s="66"/>
      <c r="OAC105" s="66"/>
      <c r="OAD105" s="66"/>
      <c r="OAE105" s="66"/>
      <c r="OAF105" s="66"/>
      <c r="OAG105" s="66"/>
      <c r="OAH105" s="66"/>
      <c r="OJY105" s="66"/>
      <c r="OJZ105" s="66"/>
      <c r="OKA105" s="66"/>
      <c r="OKB105" s="66"/>
      <c r="OKC105" s="66"/>
      <c r="OKD105" s="66"/>
      <c r="OTU105" s="66"/>
      <c r="OTV105" s="66"/>
      <c r="OTW105" s="66"/>
      <c r="OTX105" s="66"/>
      <c r="OTY105" s="66"/>
      <c r="OTZ105" s="66"/>
      <c r="PDQ105" s="66"/>
      <c r="PDR105" s="66"/>
      <c r="PDS105" s="66"/>
      <c r="PDT105" s="66"/>
      <c r="PDU105" s="66"/>
      <c r="PDV105" s="66"/>
      <c r="PNM105" s="66"/>
      <c r="PNN105" s="66"/>
      <c r="PNO105" s="66"/>
      <c r="PNP105" s="66"/>
      <c r="PNQ105" s="66"/>
      <c r="PNR105" s="66"/>
      <c r="PXI105" s="66"/>
      <c r="PXJ105" s="66"/>
      <c r="PXK105" s="66"/>
      <c r="PXL105" s="66"/>
      <c r="PXM105" s="66"/>
      <c r="PXN105" s="66"/>
      <c r="QHE105" s="66"/>
      <c r="QHF105" s="66"/>
      <c r="QHG105" s="66"/>
      <c r="QHH105" s="66"/>
      <c r="QHI105" s="66"/>
      <c r="QHJ105" s="66"/>
      <c r="QRA105" s="66"/>
      <c r="QRB105" s="66"/>
      <c r="QRC105" s="66"/>
      <c r="QRD105" s="66"/>
      <c r="QRE105" s="66"/>
      <c r="QRF105" s="66"/>
      <c r="RAW105" s="66"/>
      <c r="RAX105" s="66"/>
      <c r="RAY105" s="66"/>
      <c r="RAZ105" s="66"/>
      <c r="RBA105" s="66"/>
      <c r="RBB105" s="66"/>
      <c r="RKS105" s="66"/>
      <c r="RKT105" s="66"/>
      <c r="RKU105" s="66"/>
      <c r="RKV105" s="66"/>
      <c r="RKW105" s="66"/>
      <c r="RKX105" s="66"/>
      <c r="RUO105" s="66"/>
      <c r="RUP105" s="66"/>
      <c r="RUQ105" s="66"/>
      <c r="RUR105" s="66"/>
      <c r="RUS105" s="66"/>
      <c r="RUT105" s="66"/>
      <c r="SEK105" s="66"/>
      <c r="SEL105" s="66"/>
      <c r="SEM105" s="66"/>
      <c r="SEN105" s="66"/>
      <c r="SEO105" s="66"/>
      <c r="SEP105" s="66"/>
      <c r="SOG105" s="66"/>
      <c r="SOH105" s="66"/>
      <c r="SOI105" s="66"/>
      <c r="SOJ105" s="66"/>
      <c r="SOK105" s="66"/>
      <c r="SOL105" s="66"/>
      <c r="SYC105" s="66"/>
      <c r="SYD105" s="66"/>
      <c r="SYE105" s="66"/>
      <c r="SYF105" s="66"/>
      <c r="SYG105" s="66"/>
      <c r="SYH105" s="66"/>
      <c r="THY105" s="66"/>
      <c r="THZ105" s="66"/>
      <c r="TIA105" s="66"/>
      <c r="TIB105" s="66"/>
      <c r="TIC105" s="66"/>
      <c r="TID105" s="66"/>
      <c r="TRU105" s="66"/>
      <c r="TRV105" s="66"/>
      <c r="TRW105" s="66"/>
      <c r="TRX105" s="66"/>
      <c r="TRY105" s="66"/>
      <c r="TRZ105" s="66"/>
      <c r="UBQ105" s="66"/>
      <c r="UBR105" s="66"/>
      <c r="UBS105" s="66"/>
      <c r="UBT105" s="66"/>
      <c r="UBU105" s="66"/>
      <c r="UBV105" s="66"/>
      <c r="ULM105" s="66"/>
      <c r="ULN105" s="66"/>
      <c r="ULO105" s="66"/>
      <c r="ULP105" s="66"/>
      <c r="ULQ105" s="66"/>
      <c r="ULR105" s="66"/>
      <c r="UVI105" s="66"/>
      <c r="UVJ105" s="66"/>
      <c r="UVK105" s="66"/>
      <c r="UVL105" s="66"/>
      <c r="UVM105" s="66"/>
      <c r="UVN105" s="66"/>
      <c r="VFE105" s="66"/>
      <c r="VFF105" s="66"/>
      <c r="VFG105" s="66"/>
      <c r="VFH105" s="66"/>
      <c r="VFI105" s="66"/>
      <c r="VFJ105" s="66"/>
      <c r="VPA105" s="66"/>
      <c r="VPB105" s="66"/>
      <c r="VPC105" s="66"/>
      <c r="VPD105" s="66"/>
      <c r="VPE105" s="66"/>
      <c r="VPF105" s="66"/>
      <c r="VYW105" s="66"/>
      <c r="VYX105" s="66"/>
      <c r="VYY105" s="66"/>
      <c r="VYZ105" s="66"/>
      <c r="VZA105" s="66"/>
      <c r="VZB105" s="66"/>
      <c r="WIS105" s="66"/>
      <c r="WIT105" s="66"/>
      <c r="WIU105" s="66"/>
      <c r="WIV105" s="66"/>
      <c r="WIW105" s="66"/>
      <c r="WIX105" s="66"/>
      <c r="WSO105" s="66"/>
      <c r="WSP105" s="66"/>
      <c r="WSQ105" s="66"/>
      <c r="WSR105" s="66"/>
      <c r="WSS105" s="66"/>
      <c r="WST105" s="66"/>
    </row>
    <row r="106" spans="1:16307" ht="30.75" x14ac:dyDescent="0.25">
      <c r="A106" s="70" t="s">
        <v>170</v>
      </c>
      <c r="B106" s="85">
        <v>7130000000</v>
      </c>
      <c r="C106" s="85">
        <v>200</v>
      </c>
      <c r="D106" s="311">
        <f>'Приложение 4'!F125</f>
        <v>11874767.850000001</v>
      </c>
      <c r="E106" s="311">
        <f>'Приложение 4'!G125</f>
        <v>29482310.27</v>
      </c>
      <c r="F106" s="311">
        <f>'Приложение 4'!H125</f>
        <v>30661602.690000001</v>
      </c>
    </row>
    <row r="107" spans="1:16307" x14ac:dyDescent="0.25">
      <c r="A107" s="162" t="s">
        <v>273</v>
      </c>
      <c r="B107" s="85">
        <v>7130000000</v>
      </c>
      <c r="C107" s="85">
        <v>500</v>
      </c>
      <c r="D107" s="311">
        <f>'Приложение 4'!F126</f>
        <v>6802367.4000000004</v>
      </c>
      <c r="E107" s="311">
        <f>'Приложение 4'!G126</f>
        <v>0</v>
      </c>
      <c r="F107" s="311">
        <f>'Приложение 4'!H126</f>
        <v>0</v>
      </c>
    </row>
    <row r="108" spans="1:16307" ht="31.5" x14ac:dyDescent="0.25">
      <c r="A108" s="80" t="s">
        <v>186</v>
      </c>
      <c r="B108" s="81" t="s">
        <v>489</v>
      </c>
      <c r="C108" s="81"/>
      <c r="D108" s="74">
        <f>D109+D113</f>
        <v>300894167.54999995</v>
      </c>
      <c r="E108" s="74">
        <f>E109+E113</f>
        <v>53089887.049999997</v>
      </c>
      <c r="F108" s="74">
        <f>F109+F113</f>
        <v>53089887.049999997</v>
      </c>
    </row>
    <row r="109" spans="1:16307" ht="15.75" x14ac:dyDescent="0.25">
      <c r="A109" s="82" t="s">
        <v>478</v>
      </c>
      <c r="B109" s="83" t="s">
        <v>490</v>
      </c>
      <c r="C109" s="83"/>
      <c r="D109" s="77">
        <f>SUM(D110:D112)</f>
        <v>265533346.30999997</v>
      </c>
      <c r="E109" s="77">
        <f>SUM(E110:E112)</f>
        <v>17120163.969999999</v>
      </c>
      <c r="F109" s="77">
        <f>SUM(F110:F112)</f>
        <v>17120163.969999999</v>
      </c>
      <c r="GC109" s="1"/>
      <c r="GD109" s="1"/>
      <c r="GE109" s="1"/>
      <c r="GF109" s="1"/>
      <c r="GG109" s="1"/>
      <c r="GH109" s="1"/>
      <c r="PY109" s="1"/>
      <c r="PZ109" s="1"/>
      <c r="QA109" s="1"/>
      <c r="QB109" s="1"/>
      <c r="QC109" s="1"/>
      <c r="QD109" s="1"/>
      <c r="ZU109" s="1"/>
      <c r="ZV109" s="1"/>
      <c r="ZW109" s="1"/>
      <c r="ZX109" s="1"/>
      <c r="ZY109" s="1"/>
      <c r="ZZ109" s="1"/>
      <c r="AJQ109" s="1"/>
      <c r="AJR109" s="1"/>
      <c r="AJS109" s="1"/>
      <c r="AJT109" s="1"/>
      <c r="AJU109" s="1"/>
      <c r="AJV109" s="1"/>
      <c r="ATM109" s="1"/>
      <c r="ATN109" s="1"/>
      <c r="ATO109" s="1"/>
      <c r="ATP109" s="1"/>
      <c r="ATQ109" s="1"/>
      <c r="ATR109" s="1"/>
      <c r="BDI109" s="1"/>
      <c r="BDJ109" s="1"/>
      <c r="BDK109" s="1"/>
      <c r="BDL109" s="1"/>
      <c r="BDM109" s="1"/>
      <c r="BDN109" s="1"/>
      <c r="BNE109" s="1"/>
      <c r="BNF109" s="1"/>
      <c r="BNG109" s="1"/>
      <c r="BNH109" s="1"/>
      <c r="BNI109" s="1"/>
      <c r="BNJ109" s="1"/>
      <c r="BXA109" s="1"/>
      <c r="BXB109" s="1"/>
      <c r="BXC109" s="1"/>
      <c r="BXD109" s="1"/>
      <c r="BXE109" s="1"/>
      <c r="BXF109" s="1"/>
      <c r="CGW109" s="1"/>
      <c r="CGX109" s="1"/>
      <c r="CGY109" s="1"/>
      <c r="CGZ109" s="1"/>
      <c r="CHA109" s="1"/>
      <c r="CHB109" s="1"/>
      <c r="CQS109" s="1"/>
      <c r="CQT109" s="1"/>
      <c r="CQU109" s="1"/>
      <c r="CQV109" s="1"/>
      <c r="CQW109" s="1"/>
      <c r="CQX109" s="1"/>
      <c r="DAO109" s="1"/>
      <c r="DAP109" s="1"/>
      <c r="DAQ109" s="1"/>
      <c r="DAR109" s="1"/>
      <c r="DAS109" s="1"/>
      <c r="DAT109" s="1"/>
      <c r="DKK109" s="1"/>
      <c r="DKL109" s="1"/>
      <c r="DKM109" s="1"/>
      <c r="DKN109" s="1"/>
      <c r="DKO109" s="1"/>
      <c r="DKP109" s="1"/>
      <c r="DUG109" s="1"/>
      <c r="DUH109" s="1"/>
      <c r="DUI109" s="1"/>
      <c r="DUJ109" s="1"/>
      <c r="DUK109" s="1"/>
      <c r="DUL109" s="1"/>
      <c r="EEC109" s="1"/>
      <c r="EED109" s="1"/>
      <c r="EEE109" s="1"/>
      <c r="EEF109" s="1"/>
      <c r="EEG109" s="1"/>
      <c r="EEH109" s="1"/>
      <c r="ENY109" s="1"/>
      <c r="ENZ109" s="1"/>
      <c r="EOA109" s="1"/>
      <c r="EOB109" s="1"/>
      <c r="EOC109" s="1"/>
      <c r="EOD109" s="1"/>
      <c r="EXU109" s="1"/>
      <c r="EXV109" s="1"/>
      <c r="EXW109" s="1"/>
      <c r="EXX109" s="1"/>
      <c r="EXY109" s="1"/>
      <c r="EXZ109" s="1"/>
      <c r="FHQ109" s="1"/>
      <c r="FHR109" s="1"/>
      <c r="FHS109" s="1"/>
      <c r="FHT109" s="1"/>
      <c r="FHU109" s="1"/>
      <c r="FHV109" s="1"/>
      <c r="FRM109" s="1"/>
      <c r="FRN109" s="1"/>
      <c r="FRO109" s="1"/>
      <c r="FRP109" s="1"/>
      <c r="FRQ109" s="1"/>
      <c r="FRR109" s="1"/>
      <c r="GBI109" s="1"/>
      <c r="GBJ109" s="1"/>
      <c r="GBK109" s="1"/>
      <c r="GBL109" s="1"/>
      <c r="GBM109" s="1"/>
      <c r="GBN109" s="1"/>
      <c r="GLE109" s="1"/>
      <c r="GLF109" s="1"/>
      <c r="GLG109" s="1"/>
      <c r="GLH109" s="1"/>
      <c r="GLI109" s="1"/>
      <c r="GLJ109" s="1"/>
      <c r="GVA109" s="1"/>
      <c r="GVB109" s="1"/>
      <c r="GVC109" s="1"/>
      <c r="GVD109" s="1"/>
      <c r="GVE109" s="1"/>
      <c r="GVF109" s="1"/>
      <c r="HEW109" s="1"/>
      <c r="HEX109" s="1"/>
      <c r="HEY109" s="1"/>
      <c r="HEZ109" s="1"/>
      <c r="HFA109" s="1"/>
      <c r="HFB109" s="1"/>
      <c r="HOS109" s="1"/>
      <c r="HOT109" s="1"/>
      <c r="HOU109" s="1"/>
      <c r="HOV109" s="1"/>
      <c r="HOW109" s="1"/>
      <c r="HOX109" s="1"/>
      <c r="HYO109" s="1"/>
      <c r="HYP109" s="1"/>
      <c r="HYQ109" s="1"/>
      <c r="HYR109" s="1"/>
      <c r="HYS109" s="1"/>
      <c r="HYT109" s="1"/>
      <c r="IIK109" s="1"/>
      <c r="IIL109" s="1"/>
      <c r="IIM109" s="1"/>
      <c r="IIN109" s="1"/>
      <c r="IIO109" s="1"/>
      <c r="IIP109" s="1"/>
      <c r="ISG109" s="1"/>
      <c r="ISH109" s="1"/>
      <c r="ISI109" s="1"/>
      <c r="ISJ109" s="1"/>
      <c r="ISK109" s="1"/>
      <c r="ISL109" s="1"/>
      <c r="JCC109" s="1"/>
      <c r="JCD109" s="1"/>
      <c r="JCE109" s="1"/>
      <c r="JCF109" s="1"/>
      <c r="JCG109" s="1"/>
      <c r="JCH109" s="1"/>
      <c r="JLY109" s="1"/>
      <c r="JLZ109" s="1"/>
      <c r="JMA109" s="1"/>
      <c r="JMB109" s="1"/>
      <c r="JMC109" s="1"/>
      <c r="JMD109" s="1"/>
      <c r="JVU109" s="1"/>
      <c r="JVV109" s="1"/>
      <c r="JVW109" s="1"/>
      <c r="JVX109" s="1"/>
      <c r="JVY109" s="1"/>
      <c r="JVZ109" s="1"/>
      <c r="KFQ109" s="1"/>
      <c r="KFR109" s="1"/>
      <c r="KFS109" s="1"/>
      <c r="KFT109" s="1"/>
      <c r="KFU109" s="1"/>
      <c r="KFV109" s="1"/>
      <c r="KPM109" s="1"/>
      <c r="KPN109" s="1"/>
      <c r="KPO109" s="1"/>
      <c r="KPP109" s="1"/>
      <c r="KPQ109" s="1"/>
      <c r="KPR109" s="1"/>
      <c r="KZI109" s="1"/>
      <c r="KZJ109" s="1"/>
      <c r="KZK109" s="1"/>
      <c r="KZL109" s="1"/>
      <c r="KZM109" s="1"/>
      <c r="KZN109" s="1"/>
      <c r="LJE109" s="1"/>
      <c r="LJF109" s="1"/>
      <c r="LJG109" s="1"/>
      <c r="LJH109" s="1"/>
      <c r="LJI109" s="1"/>
      <c r="LJJ109" s="1"/>
      <c r="LTA109" s="1"/>
      <c r="LTB109" s="1"/>
      <c r="LTC109" s="1"/>
      <c r="LTD109" s="1"/>
      <c r="LTE109" s="1"/>
      <c r="LTF109" s="1"/>
      <c r="MCW109" s="1"/>
      <c r="MCX109" s="1"/>
      <c r="MCY109" s="1"/>
      <c r="MCZ109" s="1"/>
      <c r="MDA109" s="1"/>
      <c r="MDB109" s="1"/>
      <c r="MMS109" s="1"/>
      <c r="MMT109" s="1"/>
      <c r="MMU109" s="1"/>
      <c r="MMV109" s="1"/>
      <c r="MMW109" s="1"/>
      <c r="MMX109" s="1"/>
      <c r="MWO109" s="1"/>
      <c r="MWP109" s="1"/>
      <c r="MWQ109" s="1"/>
      <c r="MWR109" s="1"/>
      <c r="MWS109" s="1"/>
      <c r="MWT109" s="1"/>
      <c r="NGK109" s="1"/>
      <c r="NGL109" s="1"/>
      <c r="NGM109" s="1"/>
      <c r="NGN109" s="1"/>
      <c r="NGO109" s="1"/>
      <c r="NGP109" s="1"/>
      <c r="NQG109" s="1"/>
      <c r="NQH109" s="1"/>
      <c r="NQI109" s="1"/>
      <c r="NQJ109" s="1"/>
      <c r="NQK109" s="1"/>
      <c r="NQL109" s="1"/>
      <c r="OAC109" s="1"/>
      <c r="OAD109" s="1"/>
      <c r="OAE109" s="1"/>
      <c r="OAF109" s="1"/>
      <c r="OAG109" s="1"/>
      <c r="OAH109" s="1"/>
      <c r="OJY109" s="1"/>
      <c r="OJZ109" s="1"/>
      <c r="OKA109" s="1"/>
      <c r="OKB109" s="1"/>
      <c r="OKC109" s="1"/>
      <c r="OKD109" s="1"/>
      <c r="OTU109" s="1"/>
      <c r="OTV109" s="1"/>
      <c r="OTW109" s="1"/>
      <c r="OTX109" s="1"/>
      <c r="OTY109" s="1"/>
      <c r="OTZ109" s="1"/>
      <c r="PDQ109" s="1"/>
      <c r="PDR109" s="1"/>
      <c r="PDS109" s="1"/>
      <c r="PDT109" s="1"/>
      <c r="PDU109" s="1"/>
      <c r="PDV109" s="1"/>
      <c r="PNM109" s="1"/>
      <c r="PNN109" s="1"/>
      <c r="PNO109" s="1"/>
      <c r="PNP109" s="1"/>
      <c r="PNQ109" s="1"/>
      <c r="PNR109" s="1"/>
      <c r="PXI109" s="1"/>
      <c r="PXJ109" s="1"/>
      <c r="PXK109" s="1"/>
      <c r="PXL109" s="1"/>
      <c r="PXM109" s="1"/>
      <c r="PXN109" s="1"/>
      <c r="QHE109" s="1"/>
      <c r="QHF109" s="1"/>
      <c r="QHG109" s="1"/>
      <c r="QHH109" s="1"/>
      <c r="QHI109" s="1"/>
      <c r="QHJ109" s="1"/>
      <c r="QRA109" s="1"/>
      <c r="QRB109" s="1"/>
      <c r="QRC109" s="1"/>
      <c r="QRD109" s="1"/>
      <c r="QRE109" s="1"/>
      <c r="QRF109" s="1"/>
      <c r="RAW109" s="1"/>
      <c r="RAX109" s="1"/>
      <c r="RAY109" s="1"/>
      <c r="RAZ109" s="1"/>
      <c r="RBA109" s="1"/>
      <c r="RBB109" s="1"/>
      <c r="RKS109" s="1"/>
      <c r="RKT109" s="1"/>
      <c r="RKU109" s="1"/>
      <c r="RKV109" s="1"/>
      <c r="RKW109" s="1"/>
      <c r="RKX109" s="1"/>
      <c r="RUO109" s="1"/>
      <c r="RUP109" s="1"/>
      <c r="RUQ109" s="1"/>
      <c r="RUR109" s="1"/>
      <c r="RUS109" s="1"/>
      <c r="RUT109" s="1"/>
      <c r="SEK109" s="1"/>
      <c r="SEL109" s="1"/>
      <c r="SEM109" s="1"/>
      <c r="SEN109" s="1"/>
      <c r="SEO109" s="1"/>
      <c r="SEP109" s="1"/>
      <c r="SOG109" s="1"/>
      <c r="SOH109" s="1"/>
      <c r="SOI109" s="1"/>
      <c r="SOJ109" s="1"/>
      <c r="SOK109" s="1"/>
      <c r="SOL109" s="1"/>
      <c r="SYC109" s="1"/>
      <c r="SYD109" s="1"/>
      <c r="SYE109" s="1"/>
      <c r="SYF109" s="1"/>
      <c r="SYG109" s="1"/>
      <c r="SYH109" s="1"/>
      <c r="THY109" s="1"/>
      <c r="THZ109" s="1"/>
      <c r="TIA109" s="1"/>
      <c r="TIB109" s="1"/>
      <c r="TIC109" s="1"/>
      <c r="TID109" s="1"/>
      <c r="TRU109" s="1"/>
      <c r="TRV109" s="1"/>
      <c r="TRW109" s="1"/>
      <c r="TRX109" s="1"/>
      <c r="TRY109" s="1"/>
      <c r="TRZ109" s="1"/>
      <c r="UBQ109" s="1"/>
      <c r="UBR109" s="1"/>
      <c r="UBS109" s="1"/>
      <c r="UBT109" s="1"/>
      <c r="UBU109" s="1"/>
      <c r="UBV109" s="1"/>
      <c r="ULM109" s="1"/>
      <c r="ULN109" s="1"/>
      <c r="ULO109" s="1"/>
      <c r="ULP109" s="1"/>
      <c r="ULQ109" s="1"/>
      <c r="ULR109" s="1"/>
      <c r="UVI109" s="1"/>
      <c r="UVJ109" s="1"/>
      <c r="UVK109" s="1"/>
      <c r="UVL109" s="1"/>
      <c r="UVM109" s="1"/>
      <c r="UVN109" s="1"/>
      <c r="VFE109" s="1"/>
      <c r="VFF109" s="1"/>
      <c r="VFG109" s="1"/>
      <c r="VFH109" s="1"/>
      <c r="VFI109" s="1"/>
      <c r="VFJ109" s="1"/>
      <c r="VPA109" s="1"/>
      <c r="VPB109" s="1"/>
      <c r="VPC109" s="1"/>
      <c r="VPD109" s="1"/>
      <c r="VPE109" s="1"/>
      <c r="VPF109" s="1"/>
      <c r="VYW109" s="1"/>
      <c r="VYX109" s="1"/>
      <c r="VYY109" s="1"/>
      <c r="VYZ109" s="1"/>
      <c r="VZA109" s="1"/>
      <c r="VZB109" s="1"/>
      <c r="WIS109" s="1"/>
      <c r="WIT109" s="1"/>
      <c r="WIU109" s="1"/>
      <c r="WIV109" s="1"/>
      <c r="WIW109" s="1"/>
      <c r="WIX109" s="1"/>
      <c r="WSO109" s="1"/>
      <c r="WSP109" s="1"/>
      <c r="WSQ109" s="1"/>
      <c r="WSR109" s="1"/>
      <c r="WSS109" s="1"/>
      <c r="WST109" s="1"/>
    </row>
    <row r="110" spans="1:16307" ht="30.75" x14ac:dyDescent="0.25">
      <c r="A110" s="72" t="s">
        <v>170</v>
      </c>
      <c r="B110" s="84" t="s">
        <v>490</v>
      </c>
      <c r="C110" s="84" t="s">
        <v>181</v>
      </c>
      <c r="D110" s="311">
        <f>'Приложение 4'!F53+'Приложение 4'!F173</f>
        <v>27836833.539999999</v>
      </c>
      <c r="E110" s="311">
        <f>'Приложение 4'!G53+'Приложение 4'!G173</f>
        <v>17110163.969999999</v>
      </c>
      <c r="F110" s="311">
        <f>'Приложение 4'!H53+'Приложение 4'!H173</f>
        <v>17110163.969999999</v>
      </c>
      <c r="GC110" s="1"/>
      <c r="GD110" s="1"/>
      <c r="GE110" s="1"/>
      <c r="GF110" s="1"/>
      <c r="GG110" s="1"/>
      <c r="GH110" s="1"/>
      <c r="PY110" s="1"/>
      <c r="PZ110" s="1"/>
      <c r="QA110" s="1"/>
      <c r="QB110" s="1"/>
      <c r="QC110" s="1"/>
      <c r="QD110" s="1"/>
      <c r="ZU110" s="1"/>
      <c r="ZV110" s="1"/>
      <c r="ZW110" s="1"/>
      <c r="ZX110" s="1"/>
      <c r="ZY110" s="1"/>
      <c r="ZZ110" s="1"/>
      <c r="AJQ110" s="1"/>
      <c r="AJR110" s="1"/>
      <c r="AJS110" s="1"/>
      <c r="AJT110" s="1"/>
      <c r="AJU110" s="1"/>
      <c r="AJV110" s="1"/>
      <c r="ATM110" s="1"/>
      <c r="ATN110" s="1"/>
      <c r="ATO110" s="1"/>
      <c r="ATP110" s="1"/>
      <c r="ATQ110" s="1"/>
      <c r="ATR110" s="1"/>
      <c r="BDI110" s="1"/>
      <c r="BDJ110" s="1"/>
      <c r="BDK110" s="1"/>
      <c r="BDL110" s="1"/>
      <c r="BDM110" s="1"/>
      <c r="BDN110" s="1"/>
      <c r="BNE110" s="1"/>
      <c r="BNF110" s="1"/>
      <c r="BNG110" s="1"/>
      <c r="BNH110" s="1"/>
      <c r="BNI110" s="1"/>
      <c r="BNJ110" s="1"/>
      <c r="BXA110" s="1"/>
      <c r="BXB110" s="1"/>
      <c r="BXC110" s="1"/>
      <c r="BXD110" s="1"/>
      <c r="BXE110" s="1"/>
      <c r="BXF110" s="1"/>
      <c r="CGW110" s="1"/>
      <c r="CGX110" s="1"/>
      <c r="CGY110" s="1"/>
      <c r="CGZ110" s="1"/>
      <c r="CHA110" s="1"/>
      <c r="CHB110" s="1"/>
      <c r="CQS110" s="1"/>
      <c r="CQT110" s="1"/>
      <c r="CQU110" s="1"/>
      <c r="CQV110" s="1"/>
      <c r="CQW110" s="1"/>
      <c r="CQX110" s="1"/>
      <c r="DAO110" s="1"/>
      <c r="DAP110" s="1"/>
      <c r="DAQ110" s="1"/>
      <c r="DAR110" s="1"/>
      <c r="DAS110" s="1"/>
      <c r="DAT110" s="1"/>
      <c r="DKK110" s="1"/>
      <c r="DKL110" s="1"/>
      <c r="DKM110" s="1"/>
      <c r="DKN110" s="1"/>
      <c r="DKO110" s="1"/>
      <c r="DKP110" s="1"/>
      <c r="DUG110" s="1"/>
      <c r="DUH110" s="1"/>
      <c r="DUI110" s="1"/>
      <c r="DUJ110" s="1"/>
      <c r="DUK110" s="1"/>
      <c r="DUL110" s="1"/>
      <c r="EEC110" s="1"/>
      <c r="EED110" s="1"/>
      <c r="EEE110" s="1"/>
      <c r="EEF110" s="1"/>
      <c r="EEG110" s="1"/>
      <c r="EEH110" s="1"/>
      <c r="ENY110" s="1"/>
      <c r="ENZ110" s="1"/>
      <c r="EOA110" s="1"/>
      <c r="EOB110" s="1"/>
      <c r="EOC110" s="1"/>
      <c r="EOD110" s="1"/>
      <c r="EXU110" s="1"/>
      <c r="EXV110" s="1"/>
      <c r="EXW110" s="1"/>
      <c r="EXX110" s="1"/>
      <c r="EXY110" s="1"/>
      <c r="EXZ110" s="1"/>
      <c r="FHQ110" s="1"/>
      <c r="FHR110" s="1"/>
      <c r="FHS110" s="1"/>
      <c r="FHT110" s="1"/>
      <c r="FHU110" s="1"/>
      <c r="FHV110" s="1"/>
      <c r="FRM110" s="1"/>
      <c r="FRN110" s="1"/>
      <c r="FRO110" s="1"/>
      <c r="FRP110" s="1"/>
      <c r="FRQ110" s="1"/>
      <c r="FRR110" s="1"/>
      <c r="GBI110" s="1"/>
      <c r="GBJ110" s="1"/>
      <c r="GBK110" s="1"/>
      <c r="GBL110" s="1"/>
      <c r="GBM110" s="1"/>
      <c r="GBN110" s="1"/>
      <c r="GLE110" s="1"/>
      <c r="GLF110" s="1"/>
      <c r="GLG110" s="1"/>
      <c r="GLH110" s="1"/>
      <c r="GLI110" s="1"/>
      <c r="GLJ110" s="1"/>
      <c r="GVA110" s="1"/>
      <c r="GVB110" s="1"/>
      <c r="GVC110" s="1"/>
      <c r="GVD110" s="1"/>
      <c r="GVE110" s="1"/>
      <c r="GVF110" s="1"/>
      <c r="HEW110" s="1"/>
      <c r="HEX110" s="1"/>
      <c r="HEY110" s="1"/>
      <c r="HEZ110" s="1"/>
      <c r="HFA110" s="1"/>
      <c r="HFB110" s="1"/>
      <c r="HOS110" s="1"/>
      <c r="HOT110" s="1"/>
      <c r="HOU110" s="1"/>
      <c r="HOV110" s="1"/>
      <c r="HOW110" s="1"/>
      <c r="HOX110" s="1"/>
      <c r="HYO110" s="1"/>
      <c r="HYP110" s="1"/>
      <c r="HYQ110" s="1"/>
      <c r="HYR110" s="1"/>
      <c r="HYS110" s="1"/>
      <c r="HYT110" s="1"/>
      <c r="IIK110" s="1"/>
      <c r="IIL110" s="1"/>
      <c r="IIM110" s="1"/>
      <c r="IIN110" s="1"/>
      <c r="IIO110" s="1"/>
      <c r="IIP110" s="1"/>
      <c r="ISG110" s="1"/>
      <c r="ISH110" s="1"/>
      <c r="ISI110" s="1"/>
      <c r="ISJ110" s="1"/>
      <c r="ISK110" s="1"/>
      <c r="ISL110" s="1"/>
      <c r="JCC110" s="1"/>
      <c r="JCD110" s="1"/>
      <c r="JCE110" s="1"/>
      <c r="JCF110" s="1"/>
      <c r="JCG110" s="1"/>
      <c r="JCH110" s="1"/>
      <c r="JLY110" s="1"/>
      <c r="JLZ110" s="1"/>
      <c r="JMA110" s="1"/>
      <c r="JMB110" s="1"/>
      <c r="JMC110" s="1"/>
      <c r="JMD110" s="1"/>
      <c r="JVU110" s="1"/>
      <c r="JVV110" s="1"/>
      <c r="JVW110" s="1"/>
      <c r="JVX110" s="1"/>
      <c r="JVY110" s="1"/>
      <c r="JVZ110" s="1"/>
      <c r="KFQ110" s="1"/>
      <c r="KFR110" s="1"/>
      <c r="KFS110" s="1"/>
      <c r="KFT110" s="1"/>
      <c r="KFU110" s="1"/>
      <c r="KFV110" s="1"/>
      <c r="KPM110" s="1"/>
      <c r="KPN110" s="1"/>
      <c r="KPO110" s="1"/>
      <c r="KPP110" s="1"/>
      <c r="KPQ110" s="1"/>
      <c r="KPR110" s="1"/>
      <c r="KZI110" s="1"/>
      <c r="KZJ110" s="1"/>
      <c r="KZK110" s="1"/>
      <c r="KZL110" s="1"/>
      <c r="KZM110" s="1"/>
      <c r="KZN110" s="1"/>
      <c r="LJE110" s="1"/>
      <c r="LJF110" s="1"/>
      <c r="LJG110" s="1"/>
      <c r="LJH110" s="1"/>
      <c r="LJI110" s="1"/>
      <c r="LJJ110" s="1"/>
      <c r="LTA110" s="1"/>
      <c r="LTB110" s="1"/>
      <c r="LTC110" s="1"/>
      <c r="LTD110" s="1"/>
      <c r="LTE110" s="1"/>
      <c r="LTF110" s="1"/>
      <c r="MCW110" s="1"/>
      <c r="MCX110" s="1"/>
      <c r="MCY110" s="1"/>
      <c r="MCZ110" s="1"/>
      <c r="MDA110" s="1"/>
      <c r="MDB110" s="1"/>
      <c r="MMS110" s="1"/>
      <c r="MMT110" s="1"/>
      <c r="MMU110" s="1"/>
      <c r="MMV110" s="1"/>
      <c r="MMW110" s="1"/>
      <c r="MMX110" s="1"/>
      <c r="MWO110" s="1"/>
      <c r="MWP110" s="1"/>
      <c r="MWQ110" s="1"/>
      <c r="MWR110" s="1"/>
      <c r="MWS110" s="1"/>
      <c r="MWT110" s="1"/>
      <c r="NGK110" s="1"/>
      <c r="NGL110" s="1"/>
      <c r="NGM110" s="1"/>
      <c r="NGN110" s="1"/>
      <c r="NGO110" s="1"/>
      <c r="NGP110" s="1"/>
      <c r="NQG110" s="1"/>
      <c r="NQH110" s="1"/>
      <c r="NQI110" s="1"/>
      <c r="NQJ110" s="1"/>
      <c r="NQK110" s="1"/>
      <c r="NQL110" s="1"/>
      <c r="OAC110" s="1"/>
      <c r="OAD110" s="1"/>
      <c r="OAE110" s="1"/>
      <c r="OAF110" s="1"/>
      <c r="OAG110" s="1"/>
      <c r="OAH110" s="1"/>
      <c r="OJY110" s="1"/>
      <c r="OJZ110" s="1"/>
      <c r="OKA110" s="1"/>
      <c r="OKB110" s="1"/>
      <c r="OKC110" s="1"/>
      <c r="OKD110" s="1"/>
      <c r="OTU110" s="1"/>
      <c r="OTV110" s="1"/>
      <c r="OTW110" s="1"/>
      <c r="OTX110" s="1"/>
      <c r="OTY110" s="1"/>
      <c r="OTZ110" s="1"/>
      <c r="PDQ110" s="1"/>
      <c r="PDR110" s="1"/>
      <c r="PDS110" s="1"/>
      <c r="PDT110" s="1"/>
      <c r="PDU110" s="1"/>
      <c r="PDV110" s="1"/>
      <c r="PNM110" s="1"/>
      <c r="PNN110" s="1"/>
      <c r="PNO110" s="1"/>
      <c r="PNP110" s="1"/>
      <c r="PNQ110" s="1"/>
      <c r="PNR110" s="1"/>
      <c r="PXI110" s="1"/>
      <c r="PXJ110" s="1"/>
      <c r="PXK110" s="1"/>
      <c r="PXL110" s="1"/>
      <c r="PXM110" s="1"/>
      <c r="PXN110" s="1"/>
      <c r="QHE110" s="1"/>
      <c r="QHF110" s="1"/>
      <c r="QHG110" s="1"/>
      <c r="QHH110" s="1"/>
      <c r="QHI110" s="1"/>
      <c r="QHJ110" s="1"/>
      <c r="QRA110" s="1"/>
      <c r="QRB110" s="1"/>
      <c r="QRC110" s="1"/>
      <c r="QRD110" s="1"/>
      <c r="QRE110" s="1"/>
      <c r="QRF110" s="1"/>
      <c r="RAW110" s="1"/>
      <c r="RAX110" s="1"/>
      <c r="RAY110" s="1"/>
      <c r="RAZ110" s="1"/>
      <c r="RBA110" s="1"/>
      <c r="RBB110" s="1"/>
      <c r="RKS110" s="1"/>
      <c r="RKT110" s="1"/>
      <c r="RKU110" s="1"/>
      <c r="RKV110" s="1"/>
      <c r="RKW110" s="1"/>
      <c r="RKX110" s="1"/>
      <c r="RUO110" s="1"/>
      <c r="RUP110" s="1"/>
      <c r="RUQ110" s="1"/>
      <c r="RUR110" s="1"/>
      <c r="RUS110" s="1"/>
      <c r="RUT110" s="1"/>
      <c r="SEK110" s="1"/>
      <c r="SEL110" s="1"/>
      <c r="SEM110" s="1"/>
      <c r="SEN110" s="1"/>
      <c r="SEO110" s="1"/>
      <c r="SEP110" s="1"/>
      <c r="SOG110" s="1"/>
      <c r="SOH110" s="1"/>
      <c r="SOI110" s="1"/>
      <c r="SOJ110" s="1"/>
      <c r="SOK110" s="1"/>
      <c r="SOL110" s="1"/>
      <c r="SYC110" s="1"/>
      <c r="SYD110" s="1"/>
      <c r="SYE110" s="1"/>
      <c r="SYF110" s="1"/>
      <c r="SYG110" s="1"/>
      <c r="SYH110" s="1"/>
      <c r="THY110" s="1"/>
      <c r="THZ110" s="1"/>
      <c r="TIA110" s="1"/>
      <c r="TIB110" s="1"/>
      <c r="TIC110" s="1"/>
      <c r="TID110" s="1"/>
      <c r="TRU110" s="1"/>
      <c r="TRV110" s="1"/>
      <c r="TRW110" s="1"/>
      <c r="TRX110" s="1"/>
      <c r="TRY110" s="1"/>
      <c r="TRZ110" s="1"/>
      <c r="UBQ110" s="1"/>
      <c r="UBR110" s="1"/>
      <c r="UBS110" s="1"/>
      <c r="UBT110" s="1"/>
      <c r="UBU110" s="1"/>
      <c r="UBV110" s="1"/>
      <c r="ULM110" s="1"/>
      <c r="ULN110" s="1"/>
      <c r="ULO110" s="1"/>
      <c r="ULP110" s="1"/>
      <c r="ULQ110" s="1"/>
      <c r="ULR110" s="1"/>
      <c r="UVI110" s="1"/>
      <c r="UVJ110" s="1"/>
      <c r="UVK110" s="1"/>
      <c r="UVL110" s="1"/>
      <c r="UVM110" s="1"/>
      <c r="UVN110" s="1"/>
      <c r="VFE110" s="1"/>
      <c r="VFF110" s="1"/>
      <c r="VFG110" s="1"/>
      <c r="VFH110" s="1"/>
      <c r="VFI110" s="1"/>
      <c r="VFJ110" s="1"/>
      <c r="VPA110" s="1"/>
      <c r="VPB110" s="1"/>
      <c r="VPC110" s="1"/>
      <c r="VPD110" s="1"/>
      <c r="VPE110" s="1"/>
      <c r="VPF110" s="1"/>
      <c r="VYW110" s="1"/>
      <c r="VYX110" s="1"/>
      <c r="VYY110" s="1"/>
      <c r="VYZ110" s="1"/>
      <c r="VZA110" s="1"/>
      <c r="VZB110" s="1"/>
      <c r="WIS110" s="1"/>
      <c r="WIT110" s="1"/>
      <c r="WIU110" s="1"/>
      <c r="WIV110" s="1"/>
      <c r="WIW110" s="1"/>
      <c r="WIX110" s="1"/>
      <c r="WSO110" s="1"/>
      <c r="WSP110" s="1"/>
      <c r="WSQ110" s="1"/>
      <c r="WSR110" s="1"/>
      <c r="WSS110" s="1"/>
      <c r="WST110" s="1"/>
    </row>
    <row r="111" spans="1:16307" ht="30.75" x14ac:dyDescent="0.25">
      <c r="A111" s="72" t="s">
        <v>187</v>
      </c>
      <c r="B111" s="84" t="s">
        <v>490</v>
      </c>
      <c r="C111" s="84" t="s">
        <v>185</v>
      </c>
      <c r="D111" s="311">
        <f>'Приложение 4'!F156+'Приложение 4'!F174+'Приложение 4'!F54</f>
        <v>237568090.39999998</v>
      </c>
      <c r="E111" s="311">
        <f>'Приложение 4'!G156+'Приложение 4'!G174</f>
        <v>0</v>
      </c>
      <c r="F111" s="311">
        <f>'Приложение 4'!H156+'Приложение 4'!H174</f>
        <v>0</v>
      </c>
      <c r="GC111" s="1"/>
      <c r="GD111" s="1"/>
      <c r="GE111" s="1"/>
      <c r="GF111" s="1"/>
      <c r="GG111" s="1"/>
      <c r="GH111" s="1"/>
      <c r="PY111" s="1"/>
      <c r="PZ111" s="1"/>
      <c r="QA111" s="1"/>
      <c r="QB111" s="1"/>
      <c r="QC111" s="1"/>
      <c r="QD111" s="1"/>
      <c r="ZU111" s="1"/>
      <c r="ZV111" s="1"/>
      <c r="ZW111" s="1"/>
      <c r="ZX111" s="1"/>
      <c r="ZY111" s="1"/>
      <c r="ZZ111" s="1"/>
      <c r="AJQ111" s="1"/>
      <c r="AJR111" s="1"/>
      <c r="AJS111" s="1"/>
      <c r="AJT111" s="1"/>
      <c r="AJU111" s="1"/>
      <c r="AJV111" s="1"/>
      <c r="ATM111" s="1"/>
      <c r="ATN111" s="1"/>
      <c r="ATO111" s="1"/>
      <c r="ATP111" s="1"/>
      <c r="ATQ111" s="1"/>
      <c r="ATR111" s="1"/>
      <c r="BDI111" s="1"/>
      <c r="BDJ111" s="1"/>
      <c r="BDK111" s="1"/>
      <c r="BDL111" s="1"/>
      <c r="BDM111" s="1"/>
      <c r="BDN111" s="1"/>
      <c r="BNE111" s="1"/>
      <c r="BNF111" s="1"/>
      <c r="BNG111" s="1"/>
      <c r="BNH111" s="1"/>
      <c r="BNI111" s="1"/>
      <c r="BNJ111" s="1"/>
      <c r="BXA111" s="1"/>
      <c r="BXB111" s="1"/>
      <c r="BXC111" s="1"/>
      <c r="BXD111" s="1"/>
      <c r="BXE111" s="1"/>
      <c r="BXF111" s="1"/>
      <c r="CGW111" s="1"/>
      <c r="CGX111" s="1"/>
      <c r="CGY111" s="1"/>
      <c r="CGZ111" s="1"/>
      <c r="CHA111" s="1"/>
      <c r="CHB111" s="1"/>
      <c r="CQS111" s="1"/>
      <c r="CQT111" s="1"/>
      <c r="CQU111" s="1"/>
      <c r="CQV111" s="1"/>
      <c r="CQW111" s="1"/>
      <c r="CQX111" s="1"/>
      <c r="DAO111" s="1"/>
      <c r="DAP111" s="1"/>
      <c r="DAQ111" s="1"/>
      <c r="DAR111" s="1"/>
      <c r="DAS111" s="1"/>
      <c r="DAT111" s="1"/>
      <c r="DKK111" s="1"/>
      <c r="DKL111" s="1"/>
      <c r="DKM111" s="1"/>
      <c r="DKN111" s="1"/>
      <c r="DKO111" s="1"/>
      <c r="DKP111" s="1"/>
      <c r="DUG111" s="1"/>
      <c r="DUH111" s="1"/>
      <c r="DUI111" s="1"/>
      <c r="DUJ111" s="1"/>
      <c r="DUK111" s="1"/>
      <c r="DUL111" s="1"/>
      <c r="EEC111" s="1"/>
      <c r="EED111" s="1"/>
      <c r="EEE111" s="1"/>
      <c r="EEF111" s="1"/>
      <c r="EEG111" s="1"/>
      <c r="EEH111" s="1"/>
      <c r="ENY111" s="1"/>
      <c r="ENZ111" s="1"/>
      <c r="EOA111" s="1"/>
      <c r="EOB111" s="1"/>
      <c r="EOC111" s="1"/>
      <c r="EOD111" s="1"/>
      <c r="EXU111" s="1"/>
      <c r="EXV111" s="1"/>
      <c r="EXW111" s="1"/>
      <c r="EXX111" s="1"/>
      <c r="EXY111" s="1"/>
      <c r="EXZ111" s="1"/>
      <c r="FHQ111" s="1"/>
      <c r="FHR111" s="1"/>
      <c r="FHS111" s="1"/>
      <c r="FHT111" s="1"/>
      <c r="FHU111" s="1"/>
      <c r="FHV111" s="1"/>
      <c r="FRM111" s="1"/>
      <c r="FRN111" s="1"/>
      <c r="FRO111" s="1"/>
      <c r="FRP111" s="1"/>
      <c r="FRQ111" s="1"/>
      <c r="FRR111" s="1"/>
      <c r="GBI111" s="1"/>
      <c r="GBJ111" s="1"/>
      <c r="GBK111" s="1"/>
      <c r="GBL111" s="1"/>
      <c r="GBM111" s="1"/>
      <c r="GBN111" s="1"/>
      <c r="GLE111" s="1"/>
      <c r="GLF111" s="1"/>
      <c r="GLG111" s="1"/>
      <c r="GLH111" s="1"/>
      <c r="GLI111" s="1"/>
      <c r="GLJ111" s="1"/>
      <c r="GVA111" s="1"/>
      <c r="GVB111" s="1"/>
      <c r="GVC111" s="1"/>
      <c r="GVD111" s="1"/>
      <c r="GVE111" s="1"/>
      <c r="GVF111" s="1"/>
      <c r="HEW111" s="1"/>
      <c r="HEX111" s="1"/>
      <c r="HEY111" s="1"/>
      <c r="HEZ111" s="1"/>
      <c r="HFA111" s="1"/>
      <c r="HFB111" s="1"/>
      <c r="HOS111" s="1"/>
      <c r="HOT111" s="1"/>
      <c r="HOU111" s="1"/>
      <c r="HOV111" s="1"/>
      <c r="HOW111" s="1"/>
      <c r="HOX111" s="1"/>
      <c r="HYO111" s="1"/>
      <c r="HYP111" s="1"/>
      <c r="HYQ111" s="1"/>
      <c r="HYR111" s="1"/>
      <c r="HYS111" s="1"/>
      <c r="HYT111" s="1"/>
      <c r="IIK111" s="1"/>
      <c r="IIL111" s="1"/>
      <c r="IIM111" s="1"/>
      <c r="IIN111" s="1"/>
      <c r="IIO111" s="1"/>
      <c r="IIP111" s="1"/>
      <c r="ISG111" s="1"/>
      <c r="ISH111" s="1"/>
      <c r="ISI111" s="1"/>
      <c r="ISJ111" s="1"/>
      <c r="ISK111" s="1"/>
      <c r="ISL111" s="1"/>
      <c r="JCC111" s="1"/>
      <c r="JCD111" s="1"/>
      <c r="JCE111" s="1"/>
      <c r="JCF111" s="1"/>
      <c r="JCG111" s="1"/>
      <c r="JCH111" s="1"/>
      <c r="JLY111" s="1"/>
      <c r="JLZ111" s="1"/>
      <c r="JMA111" s="1"/>
      <c r="JMB111" s="1"/>
      <c r="JMC111" s="1"/>
      <c r="JMD111" s="1"/>
      <c r="JVU111" s="1"/>
      <c r="JVV111" s="1"/>
      <c r="JVW111" s="1"/>
      <c r="JVX111" s="1"/>
      <c r="JVY111" s="1"/>
      <c r="JVZ111" s="1"/>
      <c r="KFQ111" s="1"/>
      <c r="KFR111" s="1"/>
      <c r="KFS111" s="1"/>
      <c r="KFT111" s="1"/>
      <c r="KFU111" s="1"/>
      <c r="KFV111" s="1"/>
      <c r="KPM111" s="1"/>
      <c r="KPN111" s="1"/>
      <c r="KPO111" s="1"/>
      <c r="KPP111" s="1"/>
      <c r="KPQ111" s="1"/>
      <c r="KPR111" s="1"/>
      <c r="KZI111" s="1"/>
      <c r="KZJ111" s="1"/>
      <c r="KZK111" s="1"/>
      <c r="KZL111" s="1"/>
      <c r="KZM111" s="1"/>
      <c r="KZN111" s="1"/>
      <c r="LJE111" s="1"/>
      <c r="LJF111" s="1"/>
      <c r="LJG111" s="1"/>
      <c r="LJH111" s="1"/>
      <c r="LJI111" s="1"/>
      <c r="LJJ111" s="1"/>
      <c r="LTA111" s="1"/>
      <c r="LTB111" s="1"/>
      <c r="LTC111" s="1"/>
      <c r="LTD111" s="1"/>
      <c r="LTE111" s="1"/>
      <c r="LTF111" s="1"/>
      <c r="MCW111" s="1"/>
      <c r="MCX111" s="1"/>
      <c r="MCY111" s="1"/>
      <c r="MCZ111" s="1"/>
      <c r="MDA111" s="1"/>
      <c r="MDB111" s="1"/>
      <c r="MMS111" s="1"/>
      <c r="MMT111" s="1"/>
      <c r="MMU111" s="1"/>
      <c r="MMV111" s="1"/>
      <c r="MMW111" s="1"/>
      <c r="MMX111" s="1"/>
      <c r="MWO111" s="1"/>
      <c r="MWP111" s="1"/>
      <c r="MWQ111" s="1"/>
      <c r="MWR111" s="1"/>
      <c r="MWS111" s="1"/>
      <c r="MWT111" s="1"/>
      <c r="NGK111" s="1"/>
      <c r="NGL111" s="1"/>
      <c r="NGM111" s="1"/>
      <c r="NGN111" s="1"/>
      <c r="NGO111" s="1"/>
      <c r="NGP111" s="1"/>
      <c r="NQG111" s="1"/>
      <c r="NQH111" s="1"/>
      <c r="NQI111" s="1"/>
      <c r="NQJ111" s="1"/>
      <c r="NQK111" s="1"/>
      <c r="NQL111" s="1"/>
      <c r="OAC111" s="1"/>
      <c r="OAD111" s="1"/>
      <c r="OAE111" s="1"/>
      <c r="OAF111" s="1"/>
      <c r="OAG111" s="1"/>
      <c r="OAH111" s="1"/>
      <c r="OJY111" s="1"/>
      <c r="OJZ111" s="1"/>
      <c r="OKA111" s="1"/>
      <c r="OKB111" s="1"/>
      <c r="OKC111" s="1"/>
      <c r="OKD111" s="1"/>
      <c r="OTU111" s="1"/>
      <c r="OTV111" s="1"/>
      <c r="OTW111" s="1"/>
      <c r="OTX111" s="1"/>
      <c r="OTY111" s="1"/>
      <c r="OTZ111" s="1"/>
      <c r="PDQ111" s="1"/>
      <c r="PDR111" s="1"/>
      <c r="PDS111" s="1"/>
      <c r="PDT111" s="1"/>
      <c r="PDU111" s="1"/>
      <c r="PDV111" s="1"/>
      <c r="PNM111" s="1"/>
      <c r="PNN111" s="1"/>
      <c r="PNO111" s="1"/>
      <c r="PNP111" s="1"/>
      <c r="PNQ111" s="1"/>
      <c r="PNR111" s="1"/>
      <c r="PXI111" s="1"/>
      <c r="PXJ111" s="1"/>
      <c r="PXK111" s="1"/>
      <c r="PXL111" s="1"/>
      <c r="PXM111" s="1"/>
      <c r="PXN111" s="1"/>
      <c r="QHE111" s="1"/>
      <c r="QHF111" s="1"/>
      <c r="QHG111" s="1"/>
      <c r="QHH111" s="1"/>
      <c r="QHI111" s="1"/>
      <c r="QHJ111" s="1"/>
      <c r="QRA111" s="1"/>
      <c r="QRB111" s="1"/>
      <c r="QRC111" s="1"/>
      <c r="QRD111" s="1"/>
      <c r="QRE111" s="1"/>
      <c r="QRF111" s="1"/>
      <c r="RAW111" s="1"/>
      <c r="RAX111" s="1"/>
      <c r="RAY111" s="1"/>
      <c r="RAZ111" s="1"/>
      <c r="RBA111" s="1"/>
      <c r="RBB111" s="1"/>
      <c r="RKS111" s="1"/>
      <c r="RKT111" s="1"/>
      <c r="RKU111" s="1"/>
      <c r="RKV111" s="1"/>
      <c r="RKW111" s="1"/>
      <c r="RKX111" s="1"/>
      <c r="RUO111" s="1"/>
      <c r="RUP111" s="1"/>
      <c r="RUQ111" s="1"/>
      <c r="RUR111" s="1"/>
      <c r="RUS111" s="1"/>
      <c r="RUT111" s="1"/>
      <c r="SEK111" s="1"/>
      <c r="SEL111" s="1"/>
      <c r="SEM111" s="1"/>
      <c r="SEN111" s="1"/>
      <c r="SEO111" s="1"/>
      <c r="SEP111" s="1"/>
      <c r="SOG111" s="1"/>
      <c r="SOH111" s="1"/>
      <c r="SOI111" s="1"/>
      <c r="SOJ111" s="1"/>
      <c r="SOK111" s="1"/>
      <c r="SOL111" s="1"/>
      <c r="SYC111" s="1"/>
      <c r="SYD111" s="1"/>
      <c r="SYE111" s="1"/>
      <c r="SYF111" s="1"/>
      <c r="SYG111" s="1"/>
      <c r="SYH111" s="1"/>
      <c r="THY111" s="1"/>
      <c r="THZ111" s="1"/>
      <c r="TIA111" s="1"/>
      <c r="TIB111" s="1"/>
      <c r="TIC111" s="1"/>
      <c r="TID111" s="1"/>
      <c r="TRU111" s="1"/>
      <c r="TRV111" s="1"/>
      <c r="TRW111" s="1"/>
      <c r="TRX111" s="1"/>
      <c r="TRY111" s="1"/>
      <c r="TRZ111" s="1"/>
      <c r="UBQ111" s="1"/>
      <c r="UBR111" s="1"/>
      <c r="UBS111" s="1"/>
      <c r="UBT111" s="1"/>
      <c r="UBU111" s="1"/>
      <c r="UBV111" s="1"/>
      <c r="ULM111" s="1"/>
      <c r="ULN111" s="1"/>
      <c r="ULO111" s="1"/>
      <c r="ULP111" s="1"/>
      <c r="ULQ111" s="1"/>
      <c r="ULR111" s="1"/>
      <c r="UVI111" s="1"/>
      <c r="UVJ111" s="1"/>
      <c r="UVK111" s="1"/>
      <c r="UVL111" s="1"/>
      <c r="UVM111" s="1"/>
      <c r="UVN111" s="1"/>
      <c r="VFE111" s="1"/>
      <c r="VFF111" s="1"/>
      <c r="VFG111" s="1"/>
      <c r="VFH111" s="1"/>
      <c r="VFI111" s="1"/>
      <c r="VFJ111" s="1"/>
      <c r="VPA111" s="1"/>
      <c r="VPB111" s="1"/>
      <c r="VPC111" s="1"/>
      <c r="VPD111" s="1"/>
      <c r="VPE111" s="1"/>
      <c r="VPF111" s="1"/>
      <c r="VYW111" s="1"/>
      <c r="VYX111" s="1"/>
      <c r="VYY111" s="1"/>
      <c r="VYZ111" s="1"/>
      <c r="VZA111" s="1"/>
      <c r="VZB111" s="1"/>
      <c r="WIS111" s="1"/>
      <c r="WIT111" s="1"/>
      <c r="WIU111" s="1"/>
      <c r="WIV111" s="1"/>
      <c r="WIW111" s="1"/>
      <c r="WIX111" s="1"/>
      <c r="WSO111" s="1"/>
      <c r="WSP111" s="1"/>
      <c r="WSQ111" s="1"/>
      <c r="WSR111" s="1"/>
      <c r="WSS111" s="1"/>
      <c r="WST111" s="1"/>
    </row>
    <row r="112" spans="1:16307" ht="15.75" x14ac:dyDescent="0.25">
      <c r="A112" s="72" t="s">
        <v>172</v>
      </c>
      <c r="B112" s="84" t="s">
        <v>490</v>
      </c>
      <c r="C112" s="84" t="s">
        <v>179</v>
      </c>
      <c r="D112" s="311">
        <f>'Приложение 4'!F55</f>
        <v>128422.37</v>
      </c>
      <c r="E112" s="311">
        <f>'Приложение 4'!G55</f>
        <v>10000</v>
      </c>
      <c r="F112" s="311">
        <f>'Приложение 4'!H55</f>
        <v>10000</v>
      </c>
      <c r="GC112" s="1"/>
      <c r="GD112" s="1"/>
      <c r="GE112" s="1"/>
      <c r="GF112" s="1"/>
      <c r="GG112" s="1"/>
      <c r="GH112" s="1"/>
      <c r="PY112" s="1"/>
      <c r="PZ112" s="1"/>
      <c r="QA112" s="1"/>
      <c r="QB112" s="1"/>
      <c r="QC112" s="1"/>
      <c r="QD112" s="1"/>
      <c r="ZU112" s="1"/>
      <c r="ZV112" s="1"/>
      <c r="ZW112" s="1"/>
      <c r="ZX112" s="1"/>
      <c r="ZY112" s="1"/>
      <c r="ZZ112" s="1"/>
      <c r="AJQ112" s="1"/>
      <c r="AJR112" s="1"/>
      <c r="AJS112" s="1"/>
      <c r="AJT112" s="1"/>
      <c r="AJU112" s="1"/>
      <c r="AJV112" s="1"/>
      <c r="ATM112" s="1"/>
      <c r="ATN112" s="1"/>
      <c r="ATO112" s="1"/>
      <c r="ATP112" s="1"/>
      <c r="ATQ112" s="1"/>
      <c r="ATR112" s="1"/>
      <c r="BDI112" s="1"/>
      <c r="BDJ112" s="1"/>
      <c r="BDK112" s="1"/>
      <c r="BDL112" s="1"/>
      <c r="BDM112" s="1"/>
      <c r="BDN112" s="1"/>
      <c r="BNE112" s="1"/>
      <c r="BNF112" s="1"/>
      <c r="BNG112" s="1"/>
      <c r="BNH112" s="1"/>
      <c r="BNI112" s="1"/>
      <c r="BNJ112" s="1"/>
      <c r="BXA112" s="1"/>
      <c r="BXB112" s="1"/>
      <c r="BXC112" s="1"/>
      <c r="BXD112" s="1"/>
      <c r="BXE112" s="1"/>
      <c r="BXF112" s="1"/>
      <c r="CGW112" s="1"/>
      <c r="CGX112" s="1"/>
      <c r="CGY112" s="1"/>
      <c r="CGZ112" s="1"/>
      <c r="CHA112" s="1"/>
      <c r="CHB112" s="1"/>
      <c r="CQS112" s="1"/>
      <c r="CQT112" s="1"/>
      <c r="CQU112" s="1"/>
      <c r="CQV112" s="1"/>
      <c r="CQW112" s="1"/>
      <c r="CQX112" s="1"/>
      <c r="DAO112" s="1"/>
      <c r="DAP112" s="1"/>
      <c r="DAQ112" s="1"/>
      <c r="DAR112" s="1"/>
      <c r="DAS112" s="1"/>
      <c r="DAT112" s="1"/>
      <c r="DKK112" s="1"/>
      <c r="DKL112" s="1"/>
      <c r="DKM112" s="1"/>
      <c r="DKN112" s="1"/>
      <c r="DKO112" s="1"/>
      <c r="DKP112" s="1"/>
      <c r="DUG112" s="1"/>
      <c r="DUH112" s="1"/>
      <c r="DUI112" s="1"/>
      <c r="DUJ112" s="1"/>
      <c r="DUK112" s="1"/>
      <c r="DUL112" s="1"/>
      <c r="EEC112" s="1"/>
      <c r="EED112" s="1"/>
      <c r="EEE112" s="1"/>
      <c r="EEF112" s="1"/>
      <c r="EEG112" s="1"/>
      <c r="EEH112" s="1"/>
      <c r="ENY112" s="1"/>
      <c r="ENZ112" s="1"/>
      <c r="EOA112" s="1"/>
      <c r="EOB112" s="1"/>
      <c r="EOC112" s="1"/>
      <c r="EOD112" s="1"/>
      <c r="EXU112" s="1"/>
      <c r="EXV112" s="1"/>
      <c r="EXW112" s="1"/>
      <c r="EXX112" s="1"/>
      <c r="EXY112" s="1"/>
      <c r="EXZ112" s="1"/>
      <c r="FHQ112" s="1"/>
      <c r="FHR112" s="1"/>
      <c r="FHS112" s="1"/>
      <c r="FHT112" s="1"/>
      <c r="FHU112" s="1"/>
      <c r="FHV112" s="1"/>
      <c r="FRM112" s="1"/>
      <c r="FRN112" s="1"/>
      <c r="FRO112" s="1"/>
      <c r="FRP112" s="1"/>
      <c r="FRQ112" s="1"/>
      <c r="FRR112" s="1"/>
      <c r="GBI112" s="1"/>
      <c r="GBJ112" s="1"/>
      <c r="GBK112" s="1"/>
      <c r="GBL112" s="1"/>
      <c r="GBM112" s="1"/>
      <c r="GBN112" s="1"/>
      <c r="GLE112" s="1"/>
      <c r="GLF112" s="1"/>
      <c r="GLG112" s="1"/>
      <c r="GLH112" s="1"/>
      <c r="GLI112" s="1"/>
      <c r="GLJ112" s="1"/>
      <c r="GVA112" s="1"/>
      <c r="GVB112" s="1"/>
      <c r="GVC112" s="1"/>
      <c r="GVD112" s="1"/>
      <c r="GVE112" s="1"/>
      <c r="GVF112" s="1"/>
      <c r="HEW112" s="1"/>
      <c r="HEX112" s="1"/>
      <c r="HEY112" s="1"/>
      <c r="HEZ112" s="1"/>
      <c r="HFA112" s="1"/>
      <c r="HFB112" s="1"/>
      <c r="HOS112" s="1"/>
      <c r="HOT112" s="1"/>
      <c r="HOU112" s="1"/>
      <c r="HOV112" s="1"/>
      <c r="HOW112" s="1"/>
      <c r="HOX112" s="1"/>
      <c r="HYO112" s="1"/>
      <c r="HYP112" s="1"/>
      <c r="HYQ112" s="1"/>
      <c r="HYR112" s="1"/>
      <c r="HYS112" s="1"/>
      <c r="HYT112" s="1"/>
      <c r="IIK112" s="1"/>
      <c r="IIL112" s="1"/>
      <c r="IIM112" s="1"/>
      <c r="IIN112" s="1"/>
      <c r="IIO112" s="1"/>
      <c r="IIP112" s="1"/>
      <c r="ISG112" s="1"/>
      <c r="ISH112" s="1"/>
      <c r="ISI112" s="1"/>
      <c r="ISJ112" s="1"/>
      <c r="ISK112" s="1"/>
      <c r="ISL112" s="1"/>
      <c r="JCC112" s="1"/>
      <c r="JCD112" s="1"/>
      <c r="JCE112" s="1"/>
      <c r="JCF112" s="1"/>
      <c r="JCG112" s="1"/>
      <c r="JCH112" s="1"/>
      <c r="JLY112" s="1"/>
      <c r="JLZ112" s="1"/>
      <c r="JMA112" s="1"/>
      <c r="JMB112" s="1"/>
      <c r="JMC112" s="1"/>
      <c r="JMD112" s="1"/>
      <c r="JVU112" s="1"/>
      <c r="JVV112" s="1"/>
      <c r="JVW112" s="1"/>
      <c r="JVX112" s="1"/>
      <c r="JVY112" s="1"/>
      <c r="JVZ112" s="1"/>
      <c r="KFQ112" s="1"/>
      <c r="KFR112" s="1"/>
      <c r="KFS112" s="1"/>
      <c r="KFT112" s="1"/>
      <c r="KFU112" s="1"/>
      <c r="KFV112" s="1"/>
      <c r="KPM112" s="1"/>
      <c r="KPN112" s="1"/>
      <c r="KPO112" s="1"/>
      <c r="KPP112" s="1"/>
      <c r="KPQ112" s="1"/>
      <c r="KPR112" s="1"/>
      <c r="KZI112" s="1"/>
      <c r="KZJ112" s="1"/>
      <c r="KZK112" s="1"/>
      <c r="KZL112" s="1"/>
      <c r="KZM112" s="1"/>
      <c r="KZN112" s="1"/>
      <c r="LJE112" s="1"/>
      <c r="LJF112" s="1"/>
      <c r="LJG112" s="1"/>
      <c r="LJH112" s="1"/>
      <c r="LJI112" s="1"/>
      <c r="LJJ112" s="1"/>
      <c r="LTA112" s="1"/>
      <c r="LTB112" s="1"/>
      <c r="LTC112" s="1"/>
      <c r="LTD112" s="1"/>
      <c r="LTE112" s="1"/>
      <c r="LTF112" s="1"/>
      <c r="MCW112" s="1"/>
      <c r="MCX112" s="1"/>
      <c r="MCY112" s="1"/>
      <c r="MCZ112" s="1"/>
      <c r="MDA112" s="1"/>
      <c r="MDB112" s="1"/>
      <c r="MMS112" s="1"/>
      <c r="MMT112" s="1"/>
      <c r="MMU112" s="1"/>
      <c r="MMV112" s="1"/>
      <c r="MMW112" s="1"/>
      <c r="MMX112" s="1"/>
      <c r="MWO112" s="1"/>
      <c r="MWP112" s="1"/>
      <c r="MWQ112" s="1"/>
      <c r="MWR112" s="1"/>
      <c r="MWS112" s="1"/>
      <c r="MWT112" s="1"/>
      <c r="NGK112" s="1"/>
      <c r="NGL112" s="1"/>
      <c r="NGM112" s="1"/>
      <c r="NGN112" s="1"/>
      <c r="NGO112" s="1"/>
      <c r="NGP112" s="1"/>
      <c r="NQG112" s="1"/>
      <c r="NQH112" s="1"/>
      <c r="NQI112" s="1"/>
      <c r="NQJ112" s="1"/>
      <c r="NQK112" s="1"/>
      <c r="NQL112" s="1"/>
      <c r="OAC112" s="1"/>
      <c r="OAD112" s="1"/>
      <c r="OAE112" s="1"/>
      <c r="OAF112" s="1"/>
      <c r="OAG112" s="1"/>
      <c r="OAH112" s="1"/>
      <c r="OJY112" s="1"/>
      <c r="OJZ112" s="1"/>
      <c r="OKA112" s="1"/>
      <c r="OKB112" s="1"/>
      <c r="OKC112" s="1"/>
      <c r="OKD112" s="1"/>
      <c r="OTU112" s="1"/>
      <c r="OTV112" s="1"/>
      <c r="OTW112" s="1"/>
      <c r="OTX112" s="1"/>
      <c r="OTY112" s="1"/>
      <c r="OTZ112" s="1"/>
      <c r="PDQ112" s="1"/>
      <c r="PDR112" s="1"/>
      <c r="PDS112" s="1"/>
      <c r="PDT112" s="1"/>
      <c r="PDU112" s="1"/>
      <c r="PDV112" s="1"/>
      <c r="PNM112" s="1"/>
      <c r="PNN112" s="1"/>
      <c r="PNO112" s="1"/>
      <c r="PNP112" s="1"/>
      <c r="PNQ112" s="1"/>
      <c r="PNR112" s="1"/>
      <c r="PXI112" s="1"/>
      <c r="PXJ112" s="1"/>
      <c r="PXK112" s="1"/>
      <c r="PXL112" s="1"/>
      <c r="PXM112" s="1"/>
      <c r="PXN112" s="1"/>
      <c r="QHE112" s="1"/>
      <c r="QHF112" s="1"/>
      <c r="QHG112" s="1"/>
      <c r="QHH112" s="1"/>
      <c r="QHI112" s="1"/>
      <c r="QHJ112" s="1"/>
      <c r="QRA112" s="1"/>
      <c r="QRB112" s="1"/>
      <c r="QRC112" s="1"/>
      <c r="QRD112" s="1"/>
      <c r="QRE112" s="1"/>
      <c r="QRF112" s="1"/>
      <c r="RAW112" s="1"/>
      <c r="RAX112" s="1"/>
      <c r="RAY112" s="1"/>
      <c r="RAZ112" s="1"/>
      <c r="RBA112" s="1"/>
      <c r="RBB112" s="1"/>
      <c r="RKS112" s="1"/>
      <c r="RKT112" s="1"/>
      <c r="RKU112" s="1"/>
      <c r="RKV112" s="1"/>
      <c r="RKW112" s="1"/>
      <c r="RKX112" s="1"/>
      <c r="RUO112" s="1"/>
      <c r="RUP112" s="1"/>
      <c r="RUQ112" s="1"/>
      <c r="RUR112" s="1"/>
      <c r="RUS112" s="1"/>
      <c r="RUT112" s="1"/>
      <c r="SEK112" s="1"/>
      <c r="SEL112" s="1"/>
      <c r="SEM112" s="1"/>
      <c r="SEN112" s="1"/>
      <c r="SEO112" s="1"/>
      <c r="SEP112" s="1"/>
      <c r="SOG112" s="1"/>
      <c r="SOH112" s="1"/>
      <c r="SOI112" s="1"/>
      <c r="SOJ112" s="1"/>
      <c r="SOK112" s="1"/>
      <c r="SOL112" s="1"/>
      <c r="SYC112" s="1"/>
      <c r="SYD112" s="1"/>
      <c r="SYE112" s="1"/>
      <c r="SYF112" s="1"/>
      <c r="SYG112" s="1"/>
      <c r="SYH112" s="1"/>
      <c r="THY112" s="1"/>
      <c r="THZ112" s="1"/>
      <c r="TIA112" s="1"/>
      <c r="TIB112" s="1"/>
      <c r="TIC112" s="1"/>
      <c r="TID112" s="1"/>
      <c r="TRU112" s="1"/>
      <c r="TRV112" s="1"/>
      <c r="TRW112" s="1"/>
      <c r="TRX112" s="1"/>
      <c r="TRY112" s="1"/>
      <c r="TRZ112" s="1"/>
      <c r="UBQ112" s="1"/>
      <c r="UBR112" s="1"/>
      <c r="UBS112" s="1"/>
      <c r="UBT112" s="1"/>
      <c r="UBU112" s="1"/>
      <c r="UBV112" s="1"/>
      <c r="ULM112" s="1"/>
      <c r="ULN112" s="1"/>
      <c r="ULO112" s="1"/>
      <c r="ULP112" s="1"/>
      <c r="ULQ112" s="1"/>
      <c r="ULR112" s="1"/>
      <c r="UVI112" s="1"/>
      <c r="UVJ112" s="1"/>
      <c r="UVK112" s="1"/>
      <c r="UVL112" s="1"/>
      <c r="UVM112" s="1"/>
      <c r="UVN112" s="1"/>
      <c r="VFE112" s="1"/>
      <c r="VFF112" s="1"/>
      <c r="VFG112" s="1"/>
      <c r="VFH112" s="1"/>
      <c r="VFI112" s="1"/>
      <c r="VFJ112" s="1"/>
      <c r="VPA112" s="1"/>
      <c r="VPB112" s="1"/>
      <c r="VPC112" s="1"/>
      <c r="VPD112" s="1"/>
      <c r="VPE112" s="1"/>
      <c r="VPF112" s="1"/>
      <c r="VYW112" s="1"/>
      <c r="VYX112" s="1"/>
      <c r="VYY112" s="1"/>
      <c r="VYZ112" s="1"/>
      <c r="VZA112" s="1"/>
      <c r="VZB112" s="1"/>
      <c r="WIS112" s="1"/>
      <c r="WIT112" s="1"/>
      <c r="WIU112" s="1"/>
      <c r="WIV112" s="1"/>
      <c r="WIW112" s="1"/>
      <c r="WIX112" s="1"/>
      <c r="WSO112" s="1"/>
      <c r="WSP112" s="1"/>
      <c r="WSQ112" s="1"/>
      <c r="WSR112" s="1"/>
      <c r="WSS112" s="1"/>
      <c r="WST112" s="1"/>
    </row>
    <row r="113" spans="1:6" ht="15.75" x14ac:dyDescent="0.25">
      <c r="A113" s="82" t="s">
        <v>474</v>
      </c>
      <c r="B113" s="83" t="s">
        <v>491</v>
      </c>
      <c r="C113" s="83"/>
      <c r="D113" s="77">
        <f>SUM(D114:D117)</f>
        <v>35360821.240000002</v>
      </c>
      <c r="E113" s="77">
        <f>SUM(E114:E117)</f>
        <v>35969723.079999998</v>
      </c>
      <c r="F113" s="77">
        <f>SUM(F114:F117)</f>
        <v>35969723.079999998</v>
      </c>
    </row>
    <row r="114" spans="1:6" ht="79.5" customHeight="1" x14ac:dyDescent="0.25">
      <c r="A114" s="72" t="s">
        <v>169</v>
      </c>
      <c r="B114" s="84" t="s">
        <v>491</v>
      </c>
      <c r="C114" s="84" t="s">
        <v>178</v>
      </c>
      <c r="D114" s="310">
        <f>'Приложение 4'!F57</f>
        <v>32566350</v>
      </c>
      <c r="E114" s="310">
        <f>'Приложение 4'!G57</f>
        <v>33285166.84</v>
      </c>
      <c r="F114" s="310">
        <f>'Приложение 4'!H57</f>
        <v>33285166.84</v>
      </c>
    </row>
    <row r="115" spans="1:6" ht="30.75" x14ac:dyDescent="0.25">
      <c r="A115" s="72" t="s">
        <v>170</v>
      </c>
      <c r="B115" s="84" t="s">
        <v>491</v>
      </c>
      <c r="C115" s="84" t="s">
        <v>181</v>
      </c>
      <c r="D115" s="310">
        <f>'Приложение 4'!F58</f>
        <v>2739471.24</v>
      </c>
      <c r="E115" s="310">
        <f>'Приложение 4'!G58</f>
        <v>2679556.2400000002</v>
      </c>
      <c r="F115" s="310">
        <f>'Приложение 4'!H58</f>
        <v>2679556.2400000002</v>
      </c>
    </row>
    <row r="116" spans="1:6" ht="15.75" x14ac:dyDescent="0.25">
      <c r="A116" s="72" t="s">
        <v>171</v>
      </c>
      <c r="B116" s="84" t="s">
        <v>491</v>
      </c>
      <c r="C116" s="84" t="s">
        <v>183</v>
      </c>
      <c r="D116" s="310">
        <f>'Приложение 4'!F59</f>
        <v>50000</v>
      </c>
      <c r="E116" s="310">
        <f>'Приложение 4'!G59</f>
        <v>0</v>
      </c>
      <c r="F116" s="310">
        <f>'Приложение 4'!H59</f>
        <v>0</v>
      </c>
    </row>
    <row r="117" spans="1:6" ht="15.75" x14ac:dyDescent="0.25">
      <c r="A117" s="72" t="s">
        <v>172</v>
      </c>
      <c r="B117" s="84" t="s">
        <v>491</v>
      </c>
      <c r="C117" s="84" t="s">
        <v>179</v>
      </c>
      <c r="D117" s="310">
        <f>'Приложение 4'!F60</f>
        <v>5000</v>
      </c>
      <c r="E117" s="310">
        <f>'Приложение 4'!G60</f>
        <v>5000</v>
      </c>
      <c r="F117" s="310">
        <f>'Приложение 4'!H60</f>
        <v>5000</v>
      </c>
    </row>
    <row r="118" spans="1:6" ht="15.75" x14ac:dyDescent="0.25">
      <c r="A118" s="93"/>
      <c r="B118" s="94"/>
      <c r="C118" s="94"/>
    </row>
    <row r="119" spans="1:6" ht="15.75" x14ac:dyDescent="0.25">
      <c r="A119" s="93"/>
      <c r="B119" s="94"/>
      <c r="C119" s="94"/>
    </row>
    <row r="120" spans="1:6" ht="15.75" x14ac:dyDescent="0.25">
      <c r="A120" s="93"/>
      <c r="B120" s="94"/>
      <c r="C120" s="94"/>
    </row>
    <row r="121" spans="1:6" ht="15.75" x14ac:dyDescent="0.25">
      <c r="A121" s="93"/>
      <c r="B121" s="94"/>
      <c r="C121" s="94"/>
    </row>
    <row r="122" spans="1:6" ht="15.75" x14ac:dyDescent="0.25">
      <c r="A122" s="93"/>
      <c r="B122" s="94"/>
      <c r="C122" s="94"/>
    </row>
    <row r="123" spans="1:6" ht="15.75" x14ac:dyDescent="0.25">
      <c r="A123" s="93"/>
      <c r="B123" s="94"/>
      <c r="C123" s="94"/>
    </row>
  </sheetData>
  <mergeCells count="3">
    <mergeCell ref="A11:F11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3"/>
  <sheetViews>
    <sheetView topLeftCell="B1" zoomScaleNormal="100" workbookViewId="0">
      <selection activeCell="G6" sqref="G6:H7"/>
    </sheetView>
  </sheetViews>
  <sheetFormatPr defaultRowHeight="15" x14ac:dyDescent="0.2"/>
  <cols>
    <col min="1" max="1" width="56.42578125" style="95" customWidth="1"/>
    <col min="2" max="2" width="5.85546875" style="96" customWidth="1"/>
    <col min="3" max="3" width="5.140625" style="96" customWidth="1"/>
    <col min="4" max="4" width="15.85546875" style="96" customWidth="1"/>
    <col min="5" max="5" width="8.5703125" style="96" customWidth="1"/>
    <col min="6" max="6" width="23.42578125" style="97" customWidth="1"/>
    <col min="7" max="7" width="19.42578125" style="97" customWidth="1"/>
    <col min="8" max="8" width="21.85546875" style="97" customWidth="1"/>
    <col min="9" max="9" width="13" style="97" customWidth="1"/>
    <col min="10" max="10" width="14.140625" style="97" customWidth="1"/>
    <col min="11" max="11" width="13.85546875" style="97" customWidth="1"/>
    <col min="12" max="12" width="15.140625" style="97" customWidth="1"/>
    <col min="13" max="13" width="15.42578125" style="97" bestFit="1" customWidth="1"/>
    <col min="14" max="14" width="16.7109375" style="97" bestFit="1" customWidth="1"/>
    <col min="15" max="15" width="15.42578125" style="97" bestFit="1" customWidth="1"/>
    <col min="16" max="16" width="11.5703125" style="95" customWidth="1"/>
    <col min="17" max="17" width="10.28515625" style="95" bestFit="1" customWidth="1"/>
    <col min="18" max="18" width="22.42578125" style="95" customWidth="1"/>
    <col min="19" max="19" width="15.5703125" style="95" customWidth="1"/>
    <col min="20" max="20" width="15.85546875" style="95" customWidth="1"/>
    <col min="21" max="21" width="15.5703125" style="95" customWidth="1"/>
    <col min="22" max="22" width="15.85546875" style="95" customWidth="1"/>
    <col min="23" max="23" width="9.140625" style="95"/>
    <col min="24" max="24" width="10.85546875" style="95" customWidth="1"/>
    <col min="25" max="25" width="11" style="95" bestFit="1" customWidth="1"/>
    <col min="26" max="208" width="9.140625" style="95"/>
    <col min="209" max="209" width="61" style="95" customWidth="1"/>
    <col min="210" max="210" width="9.140625" style="95" customWidth="1"/>
    <col min="211" max="211" width="5.85546875" style="95" customWidth="1"/>
    <col min="212" max="212" width="5.140625" style="95" customWidth="1"/>
    <col min="213" max="213" width="18.140625" style="95" customWidth="1"/>
    <col min="214" max="214" width="8.5703125" style="95" customWidth="1"/>
    <col min="215" max="215" width="27.140625" style="95" customWidth="1"/>
    <col min="216" max="222" width="0" style="95" hidden="1" customWidth="1"/>
    <col min="223" max="223" width="12.42578125" style="95" bestFit="1" customWidth="1"/>
    <col min="224" max="224" width="13.28515625" style="95" bestFit="1" customWidth="1"/>
    <col min="225" max="225" width="46.7109375" style="95" bestFit="1" customWidth="1"/>
    <col min="226" max="464" width="9.140625" style="95"/>
    <col min="465" max="465" width="61" style="95" customWidth="1"/>
    <col min="466" max="466" width="9.140625" style="95" customWidth="1"/>
    <col min="467" max="467" width="5.85546875" style="95" customWidth="1"/>
    <col min="468" max="468" width="5.140625" style="95" customWidth="1"/>
    <col min="469" max="469" width="18.140625" style="95" customWidth="1"/>
    <col min="470" max="470" width="8.5703125" style="95" customWidth="1"/>
    <col min="471" max="471" width="27.140625" style="95" customWidth="1"/>
    <col min="472" max="478" width="0" style="95" hidden="1" customWidth="1"/>
    <col min="479" max="479" width="12.42578125" style="95" bestFit="1" customWidth="1"/>
    <col min="480" max="480" width="13.28515625" style="95" bestFit="1" customWidth="1"/>
    <col min="481" max="481" width="46.7109375" style="95" bestFit="1" customWidth="1"/>
    <col min="482" max="720" width="9.140625" style="95"/>
    <col min="721" max="721" width="61" style="95" customWidth="1"/>
    <col min="722" max="722" width="9.140625" style="95" customWidth="1"/>
    <col min="723" max="723" width="5.85546875" style="95" customWidth="1"/>
    <col min="724" max="724" width="5.140625" style="95" customWidth="1"/>
    <col min="725" max="725" width="18.140625" style="95" customWidth="1"/>
    <col min="726" max="726" width="8.5703125" style="95" customWidth="1"/>
    <col min="727" max="727" width="27.140625" style="95" customWidth="1"/>
    <col min="728" max="734" width="0" style="95" hidden="1" customWidth="1"/>
    <col min="735" max="735" width="12.42578125" style="95" bestFit="1" customWidth="1"/>
    <col min="736" max="736" width="13.28515625" style="95" bestFit="1" customWidth="1"/>
    <col min="737" max="737" width="46.7109375" style="95" bestFit="1" customWidth="1"/>
    <col min="738" max="976" width="9.140625" style="95"/>
    <col min="977" max="977" width="61" style="95" customWidth="1"/>
    <col min="978" max="978" width="9.140625" style="95" customWidth="1"/>
    <col min="979" max="979" width="5.85546875" style="95" customWidth="1"/>
    <col min="980" max="980" width="5.140625" style="95" customWidth="1"/>
    <col min="981" max="981" width="18.140625" style="95" customWidth="1"/>
    <col min="982" max="982" width="8.5703125" style="95" customWidth="1"/>
    <col min="983" max="983" width="27.140625" style="95" customWidth="1"/>
    <col min="984" max="990" width="0" style="95" hidden="1" customWidth="1"/>
    <col min="991" max="991" width="12.42578125" style="95" bestFit="1" customWidth="1"/>
    <col min="992" max="992" width="13.28515625" style="95" bestFit="1" customWidth="1"/>
    <col min="993" max="993" width="46.7109375" style="95" bestFit="1" customWidth="1"/>
    <col min="994" max="1232" width="9.140625" style="95"/>
    <col min="1233" max="1233" width="61" style="95" customWidth="1"/>
    <col min="1234" max="1234" width="9.140625" style="95" customWidth="1"/>
    <col min="1235" max="1235" width="5.85546875" style="95" customWidth="1"/>
    <col min="1236" max="1236" width="5.140625" style="95" customWidth="1"/>
    <col min="1237" max="1237" width="18.140625" style="95" customWidth="1"/>
    <col min="1238" max="1238" width="8.5703125" style="95" customWidth="1"/>
    <col min="1239" max="1239" width="27.140625" style="95" customWidth="1"/>
    <col min="1240" max="1246" width="0" style="95" hidden="1" customWidth="1"/>
    <col min="1247" max="1247" width="12.42578125" style="95" bestFit="1" customWidth="1"/>
    <col min="1248" max="1248" width="13.28515625" style="95" bestFit="1" customWidth="1"/>
    <col min="1249" max="1249" width="46.7109375" style="95" bestFit="1" customWidth="1"/>
    <col min="1250" max="1488" width="9.140625" style="95"/>
    <col min="1489" max="1489" width="61" style="95" customWidth="1"/>
    <col min="1490" max="1490" width="9.140625" style="95" customWidth="1"/>
    <col min="1491" max="1491" width="5.85546875" style="95" customWidth="1"/>
    <col min="1492" max="1492" width="5.140625" style="95" customWidth="1"/>
    <col min="1493" max="1493" width="18.140625" style="95" customWidth="1"/>
    <col min="1494" max="1494" width="8.5703125" style="95" customWidth="1"/>
    <col min="1495" max="1495" width="27.140625" style="95" customWidth="1"/>
    <col min="1496" max="1502" width="0" style="95" hidden="1" customWidth="1"/>
    <col min="1503" max="1503" width="12.42578125" style="95" bestFit="1" customWidth="1"/>
    <col min="1504" max="1504" width="13.28515625" style="95" bestFit="1" customWidth="1"/>
    <col min="1505" max="1505" width="46.7109375" style="95" bestFit="1" customWidth="1"/>
    <col min="1506" max="1744" width="9.140625" style="95"/>
    <col min="1745" max="1745" width="61" style="95" customWidth="1"/>
    <col min="1746" max="1746" width="9.140625" style="95" customWidth="1"/>
    <col min="1747" max="1747" width="5.85546875" style="95" customWidth="1"/>
    <col min="1748" max="1748" width="5.140625" style="95" customWidth="1"/>
    <col min="1749" max="1749" width="18.140625" style="95" customWidth="1"/>
    <col min="1750" max="1750" width="8.5703125" style="95" customWidth="1"/>
    <col min="1751" max="1751" width="27.140625" style="95" customWidth="1"/>
    <col min="1752" max="1758" width="0" style="95" hidden="1" customWidth="1"/>
    <col min="1759" max="1759" width="12.42578125" style="95" bestFit="1" customWidth="1"/>
    <col min="1760" max="1760" width="13.28515625" style="95" bestFit="1" customWidth="1"/>
    <col min="1761" max="1761" width="46.7109375" style="95" bestFit="1" customWidth="1"/>
    <col min="1762" max="2000" width="9.140625" style="95"/>
    <col min="2001" max="2001" width="61" style="95" customWidth="1"/>
    <col min="2002" max="2002" width="9.140625" style="95" customWidth="1"/>
    <col min="2003" max="2003" width="5.85546875" style="95" customWidth="1"/>
    <col min="2004" max="2004" width="5.140625" style="95" customWidth="1"/>
    <col min="2005" max="2005" width="18.140625" style="95" customWidth="1"/>
    <col min="2006" max="2006" width="8.5703125" style="95" customWidth="1"/>
    <col min="2007" max="2007" width="27.140625" style="95" customWidth="1"/>
    <col min="2008" max="2014" width="0" style="95" hidden="1" customWidth="1"/>
    <col min="2015" max="2015" width="12.42578125" style="95" bestFit="1" customWidth="1"/>
    <col min="2016" max="2016" width="13.28515625" style="95" bestFit="1" customWidth="1"/>
    <col min="2017" max="2017" width="46.7109375" style="95" bestFit="1" customWidth="1"/>
    <col min="2018" max="2256" width="9.140625" style="95"/>
    <col min="2257" max="2257" width="61" style="95" customWidth="1"/>
    <col min="2258" max="2258" width="9.140625" style="95" customWidth="1"/>
    <col min="2259" max="2259" width="5.85546875" style="95" customWidth="1"/>
    <col min="2260" max="2260" width="5.140625" style="95" customWidth="1"/>
    <col min="2261" max="2261" width="18.140625" style="95" customWidth="1"/>
    <col min="2262" max="2262" width="8.5703125" style="95" customWidth="1"/>
    <col min="2263" max="2263" width="27.140625" style="95" customWidth="1"/>
    <col min="2264" max="2270" width="0" style="95" hidden="1" customWidth="1"/>
    <col min="2271" max="2271" width="12.42578125" style="95" bestFit="1" customWidth="1"/>
    <col min="2272" max="2272" width="13.28515625" style="95" bestFit="1" customWidth="1"/>
    <col min="2273" max="2273" width="46.7109375" style="95" bestFit="1" customWidth="1"/>
    <col min="2274" max="2512" width="9.140625" style="95"/>
    <col min="2513" max="2513" width="61" style="95" customWidth="1"/>
    <col min="2514" max="2514" width="9.140625" style="95" customWidth="1"/>
    <col min="2515" max="2515" width="5.85546875" style="95" customWidth="1"/>
    <col min="2516" max="2516" width="5.140625" style="95" customWidth="1"/>
    <col min="2517" max="2517" width="18.140625" style="95" customWidth="1"/>
    <col min="2518" max="2518" width="8.5703125" style="95" customWidth="1"/>
    <col min="2519" max="2519" width="27.140625" style="95" customWidth="1"/>
    <col min="2520" max="2526" width="0" style="95" hidden="1" customWidth="1"/>
    <col min="2527" max="2527" width="12.42578125" style="95" bestFit="1" customWidth="1"/>
    <col min="2528" max="2528" width="13.28515625" style="95" bestFit="1" customWidth="1"/>
    <col min="2529" max="2529" width="46.7109375" style="95" bestFit="1" customWidth="1"/>
    <col min="2530" max="2768" width="9.140625" style="95"/>
    <col min="2769" max="2769" width="61" style="95" customWidth="1"/>
    <col min="2770" max="2770" width="9.140625" style="95" customWidth="1"/>
    <col min="2771" max="2771" width="5.85546875" style="95" customWidth="1"/>
    <col min="2772" max="2772" width="5.140625" style="95" customWidth="1"/>
    <col min="2773" max="2773" width="18.140625" style="95" customWidth="1"/>
    <col min="2774" max="2774" width="8.5703125" style="95" customWidth="1"/>
    <col min="2775" max="2775" width="27.140625" style="95" customWidth="1"/>
    <col min="2776" max="2782" width="0" style="95" hidden="1" customWidth="1"/>
    <col min="2783" max="2783" width="12.42578125" style="95" bestFit="1" customWidth="1"/>
    <col min="2784" max="2784" width="13.28515625" style="95" bestFit="1" customWidth="1"/>
    <col min="2785" max="2785" width="46.7109375" style="95" bestFit="1" customWidth="1"/>
    <col min="2786" max="3024" width="9.140625" style="95"/>
    <col min="3025" max="3025" width="61" style="95" customWidth="1"/>
    <col min="3026" max="3026" width="9.140625" style="95" customWidth="1"/>
    <col min="3027" max="3027" width="5.85546875" style="95" customWidth="1"/>
    <col min="3028" max="3028" width="5.140625" style="95" customWidth="1"/>
    <col min="3029" max="3029" width="18.140625" style="95" customWidth="1"/>
    <col min="3030" max="3030" width="8.5703125" style="95" customWidth="1"/>
    <col min="3031" max="3031" width="27.140625" style="95" customWidth="1"/>
    <col min="3032" max="3038" width="0" style="95" hidden="1" customWidth="1"/>
    <col min="3039" max="3039" width="12.42578125" style="95" bestFit="1" customWidth="1"/>
    <col min="3040" max="3040" width="13.28515625" style="95" bestFit="1" customWidth="1"/>
    <col min="3041" max="3041" width="46.7109375" style="95" bestFit="1" customWidth="1"/>
    <col min="3042" max="3280" width="9.140625" style="95"/>
    <col min="3281" max="3281" width="61" style="95" customWidth="1"/>
    <col min="3282" max="3282" width="9.140625" style="95" customWidth="1"/>
    <col min="3283" max="3283" width="5.85546875" style="95" customWidth="1"/>
    <col min="3284" max="3284" width="5.140625" style="95" customWidth="1"/>
    <col min="3285" max="3285" width="18.140625" style="95" customWidth="1"/>
    <col min="3286" max="3286" width="8.5703125" style="95" customWidth="1"/>
    <col min="3287" max="3287" width="27.140625" style="95" customWidth="1"/>
    <col min="3288" max="3294" width="0" style="95" hidden="1" customWidth="1"/>
    <col min="3295" max="3295" width="12.42578125" style="95" bestFit="1" customWidth="1"/>
    <col min="3296" max="3296" width="13.28515625" style="95" bestFit="1" customWidth="1"/>
    <col min="3297" max="3297" width="46.7109375" style="95" bestFit="1" customWidth="1"/>
    <col min="3298" max="3536" width="9.140625" style="95"/>
    <col min="3537" max="3537" width="61" style="95" customWidth="1"/>
    <col min="3538" max="3538" width="9.140625" style="95" customWidth="1"/>
    <col min="3539" max="3539" width="5.85546875" style="95" customWidth="1"/>
    <col min="3540" max="3540" width="5.140625" style="95" customWidth="1"/>
    <col min="3541" max="3541" width="18.140625" style="95" customWidth="1"/>
    <col min="3542" max="3542" width="8.5703125" style="95" customWidth="1"/>
    <col min="3543" max="3543" width="27.140625" style="95" customWidth="1"/>
    <col min="3544" max="3550" width="0" style="95" hidden="1" customWidth="1"/>
    <col min="3551" max="3551" width="12.42578125" style="95" bestFit="1" customWidth="1"/>
    <col min="3552" max="3552" width="13.28515625" style="95" bestFit="1" customWidth="1"/>
    <col min="3553" max="3553" width="46.7109375" style="95" bestFit="1" customWidth="1"/>
    <col min="3554" max="3792" width="9.140625" style="95"/>
    <col min="3793" max="3793" width="61" style="95" customWidth="1"/>
    <col min="3794" max="3794" width="9.140625" style="95" customWidth="1"/>
    <col min="3795" max="3795" width="5.85546875" style="95" customWidth="1"/>
    <col min="3796" max="3796" width="5.140625" style="95" customWidth="1"/>
    <col min="3797" max="3797" width="18.140625" style="95" customWidth="1"/>
    <col min="3798" max="3798" width="8.5703125" style="95" customWidth="1"/>
    <col min="3799" max="3799" width="27.140625" style="95" customWidth="1"/>
    <col min="3800" max="3806" width="0" style="95" hidden="1" customWidth="1"/>
    <col min="3807" max="3807" width="12.42578125" style="95" bestFit="1" customWidth="1"/>
    <col min="3808" max="3808" width="13.28515625" style="95" bestFit="1" customWidth="1"/>
    <col min="3809" max="3809" width="46.7109375" style="95" bestFit="1" customWidth="1"/>
    <col min="3810" max="4048" width="9.140625" style="95"/>
    <col min="4049" max="4049" width="61" style="95" customWidth="1"/>
    <col min="4050" max="4050" width="9.140625" style="95" customWidth="1"/>
    <col min="4051" max="4051" width="5.85546875" style="95" customWidth="1"/>
    <col min="4052" max="4052" width="5.140625" style="95" customWidth="1"/>
    <col min="4053" max="4053" width="18.140625" style="95" customWidth="1"/>
    <col min="4054" max="4054" width="8.5703125" style="95" customWidth="1"/>
    <col min="4055" max="4055" width="27.140625" style="95" customWidth="1"/>
    <col min="4056" max="4062" width="0" style="95" hidden="1" customWidth="1"/>
    <col min="4063" max="4063" width="12.42578125" style="95" bestFit="1" customWidth="1"/>
    <col min="4064" max="4064" width="13.28515625" style="95" bestFit="1" customWidth="1"/>
    <col min="4065" max="4065" width="46.7109375" style="95" bestFit="1" customWidth="1"/>
    <col min="4066" max="4304" width="9.140625" style="95"/>
    <col min="4305" max="4305" width="61" style="95" customWidth="1"/>
    <col min="4306" max="4306" width="9.140625" style="95" customWidth="1"/>
    <col min="4307" max="4307" width="5.85546875" style="95" customWidth="1"/>
    <col min="4308" max="4308" width="5.140625" style="95" customWidth="1"/>
    <col min="4309" max="4309" width="18.140625" style="95" customWidth="1"/>
    <col min="4310" max="4310" width="8.5703125" style="95" customWidth="1"/>
    <col min="4311" max="4311" width="27.140625" style="95" customWidth="1"/>
    <col min="4312" max="4318" width="0" style="95" hidden="1" customWidth="1"/>
    <col min="4319" max="4319" width="12.42578125" style="95" bestFit="1" customWidth="1"/>
    <col min="4320" max="4320" width="13.28515625" style="95" bestFit="1" customWidth="1"/>
    <col min="4321" max="4321" width="46.7109375" style="95" bestFit="1" customWidth="1"/>
    <col min="4322" max="4560" width="9.140625" style="95"/>
    <col min="4561" max="4561" width="61" style="95" customWidth="1"/>
    <col min="4562" max="4562" width="9.140625" style="95" customWidth="1"/>
    <col min="4563" max="4563" width="5.85546875" style="95" customWidth="1"/>
    <col min="4564" max="4564" width="5.140625" style="95" customWidth="1"/>
    <col min="4565" max="4565" width="18.140625" style="95" customWidth="1"/>
    <col min="4566" max="4566" width="8.5703125" style="95" customWidth="1"/>
    <col min="4567" max="4567" width="27.140625" style="95" customWidth="1"/>
    <col min="4568" max="4574" width="0" style="95" hidden="1" customWidth="1"/>
    <col min="4575" max="4575" width="12.42578125" style="95" bestFit="1" customWidth="1"/>
    <col min="4576" max="4576" width="13.28515625" style="95" bestFit="1" customWidth="1"/>
    <col min="4577" max="4577" width="46.7109375" style="95" bestFit="1" customWidth="1"/>
    <col min="4578" max="4816" width="9.140625" style="95"/>
    <col min="4817" max="4817" width="61" style="95" customWidth="1"/>
    <col min="4818" max="4818" width="9.140625" style="95" customWidth="1"/>
    <col min="4819" max="4819" width="5.85546875" style="95" customWidth="1"/>
    <col min="4820" max="4820" width="5.140625" style="95" customWidth="1"/>
    <col min="4821" max="4821" width="18.140625" style="95" customWidth="1"/>
    <col min="4822" max="4822" width="8.5703125" style="95" customWidth="1"/>
    <col min="4823" max="4823" width="27.140625" style="95" customWidth="1"/>
    <col min="4824" max="4830" width="0" style="95" hidden="1" customWidth="1"/>
    <col min="4831" max="4831" width="12.42578125" style="95" bestFit="1" customWidth="1"/>
    <col min="4832" max="4832" width="13.28515625" style="95" bestFit="1" customWidth="1"/>
    <col min="4833" max="4833" width="46.7109375" style="95" bestFit="1" customWidth="1"/>
    <col min="4834" max="5072" width="9.140625" style="95"/>
    <col min="5073" max="5073" width="61" style="95" customWidth="1"/>
    <col min="5074" max="5074" width="9.140625" style="95" customWidth="1"/>
    <col min="5075" max="5075" width="5.85546875" style="95" customWidth="1"/>
    <col min="5076" max="5076" width="5.140625" style="95" customWidth="1"/>
    <col min="5077" max="5077" width="18.140625" style="95" customWidth="1"/>
    <col min="5078" max="5078" width="8.5703125" style="95" customWidth="1"/>
    <col min="5079" max="5079" width="27.140625" style="95" customWidth="1"/>
    <col min="5080" max="5086" width="0" style="95" hidden="1" customWidth="1"/>
    <col min="5087" max="5087" width="12.42578125" style="95" bestFit="1" customWidth="1"/>
    <col min="5088" max="5088" width="13.28515625" style="95" bestFit="1" customWidth="1"/>
    <col min="5089" max="5089" width="46.7109375" style="95" bestFit="1" customWidth="1"/>
    <col min="5090" max="5328" width="9.140625" style="95"/>
    <col min="5329" max="5329" width="61" style="95" customWidth="1"/>
    <col min="5330" max="5330" width="9.140625" style="95" customWidth="1"/>
    <col min="5331" max="5331" width="5.85546875" style="95" customWidth="1"/>
    <col min="5332" max="5332" width="5.140625" style="95" customWidth="1"/>
    <col min="5333" max="5333" width="18.140625" style="95" customWidth="1"/>
    <col min="5334" max="5334" width="8.5703125" style="95" customWidth="1"/>
    <col min="5335" max="5335" width="27.140625" style="95" customWidth="1"/>
    <col min="5336" max="5342" width="0" style="95" hidden="1" customWidth="1"/>
    <col min="5343" max="5343" width="12.42578125" style="95" bestFit="1" customWidth="1"/>
    <col min="5344" max="5344" width="13.28515625" style="95" bestFit="1" customWidth="1"/>
    <col min="5345" max="5345" width="46.7109375" style="95" bestFit="1" customWidth="1"/>
    <col min="5346" max="5584" width="9.140625" style="95"/>
    <col min="5585" max="5585" width="61" style="95" customWidth="1"/>
    <col min="5586" max="5586" width="9.140625" style="95" customWidth="1"/>
    <col min="5587" max="5587" width="5.85546875" style="95" customWidth="1"/>
    <col min="5588" max="5588" width="5.140625" style="95" customWidth="1"/>
    <col min="5589" max="5589" width="18.140625" style="95" customWidth="1"/>
    <col min="5590" max="5590" width="8.5703125" style="95" customWidth="1"/>
    <col min="5591" max="5591" width="27.140625" style="95" customWidth="1"/>
    <col min="5592" max="5598" width="0" style="95" hidden="1" customWidth="1"/>
    <col min="5599" max="5599" width="12.42578125" style="95" bestFit="1" customWidth="1"/>
    <col min="5600" max="5600" width="13.28515625" style="95" bestFit="1" customWidth="1"/>
    <col min="5601" max="5601" width="46.7109375" style="95" bestFit="1" customWidth="1"/>
    <col min="5602" max="5840" width="9.140625" style="95"/>
    <col min="5841" max="5841" width="61" style="95" customWidth="1"/>
    <col min="5842" max="5842" width="9.140625" style="95" customWidth="1"/>
    <col min="5843" max="5843" width="5.85546875" style="95" customWidth="1"/>
    <col min="5844" max="5844" width="5.140625" style="95" customWidth="1"/>
    <col min="5845" max="5845" width="18.140625" style="95" customWidth="1"/>
    <col min="5846" max="5846" width="8.5703125" style="95" customWidth="1"/>
    <col min="5847" max="5847" width="27.140625" style="95" customWidth="1"/>
    <col min="5848" max="5854" width="0" style="95" hidden="1" customWidth="1"/>
    <col min="5855" max="5855" width="12.42578125" style="95" bestFit="1" customWidth="1"/>
    <col min="5856" max="5856" width="13.28515625" style="95" bestFit="1" customWidth="1"/>
    <col min="5857" max="5857" width="46.7109375" style="95" bestFit="1" customWidth="1"/>
    <col min="5858" max="6096" width="9.140625" style="95"/>
    <col min="6097" max="6097" width="61" style="95" customWidth="1"/>
    <col min="6098" max="6098" width="9.140625" style="95" customWidth="1"/>
    <col min="6099" max="6099" width="5.85546875" style="95" customWidth="1"/>
    <col min="6100" max="6100" width="5.140625" style="95" customWidth="1"/>
    <col min="6101" max="6101" width="18.140625" style="95" customWidth="1"/>
    <col min="6102" max="6102" width="8.5703125" style="95" customWidth="1"/>
    <col min="6103" max="6103" width="27.140625" style="95" customWidth="1"/>
    <col min="6104" max="6110" width="0" style="95" hidden="1" customWidth="1"/>
    <col min="6111" max="6111" width="12.42578125" style="95" bestFit="1" customWidth="1"/>
    <col min="6112" max="6112" width="13.28515625" style="95" bestFit="1" customWidth="1"/>
    <col min="6113" max="6113" width="46.7109375" style="95" bestFit="1" customWidth="1"/>
    <col min="6114" max="6352" width="9.140625" style="95"/>
    <col min="6353" max="6353" width="61" style="95" customWidth="1"/>
    <col min="6354" max="6354" width="9.140625" style="95" customWidth="1"/>
    <col min="6355" max="6355" width="5.85546875" style="95" customWidth="1"/>
    <col min="6356" max="6356" width="5.140625" style="95" customWidth="1"/>
    <col min="6357" max="6357" width="18.140625" style="95" customWidth="1"/>
    <col min="6358" max="6358" width="8.5703125" style="95" customWidth="1"/>
    <col min="6359" max="6359" width="27.140625" style="95" customWidth="1"/>
    <col min="6360" max="6366" width="0" style="95" hidden="1" customWidth="1"/>
    <col min="6367" max="6367" width="12.42578125" style="95" bestFit="1" customWidth="1"/>
    <col min="6368" max="6368" width="13.28515625" style="95" bestFit="1" customWidth="1"/>
    <col min="6369" max="6369" width="46.7109375" style="95" bestFit="1" customWidth="1"/>
    <col min="6370" max="6608" width="9.140625" style="95"/>
    <col min="6609" max="6609" width="61" style="95" customWidth="1"/>
    <col min="6610" max="6610" width="9.140625" style="95" customWidth="1"/>
    <col min="6611" max="6611" width="5.85546875" style="95" customWidth="1"/>
    <col min="6612" max="6612" width="5.140625" style="95" customWidth="1"/>
    <col min="6613" max="6613" width="18.140625" style="95" customWidth="1"/>
    <col min="6614" max="6614" width="8.5703125" style="95" customWidth="1"/>
    <col min="6615" max="6615" width="27.140625" style="95" customWidth="1"/>
    <col min="6616" max="6622" width="0" style="95" hidden="1" customWidth="1"/>
    <col min="6623" max="6623" width="12.42578125" style="95" bestFit="1" customWidth="1"/>
    <col min="6624" max="6624" width="13.28515625" style="95" bestFit="1" customWidth="1"/>
    <col min="6625" max="6625" width="46.7109375" style="95" bestFit="1" customWidth="1"/>
    <col min="6626" max="6864" width="9.140625" style="95"/>
    <col min="6865" max="6865" width="61" style="95" customWidth="1"/>
    <col min="6866" max="6866" width="9.140625" style="95" customWidth="1"/>
    <col min="6867" max="6867" width="5.85546875" style="95" customWidth="1"/>
    <col min="6868" max="6868" width="5.140625" style="95" customWidth="1"/>
    <col min="6869" max="6869" width="18.140625" style="95" customWidth="1"/>
    <col min="6870" max="6870" width="8.5703125" style="95" customWidth="1"/>
    <col min="6871" max="6871" width="27.140625" style="95" customWidth="1"/>
    <col min="6872" max="6878" width="0" style="95" hidden="1" customWidth="1"/>
    <col min="6879" max="6879" width="12.42578125" style="95" bestFit="1" customWidth="1"/>
    <col min="6880" max="6880" width="13.28515625" style="95" bestFit="1" customWidth="1"/>
    <col min="6881" max="6881" width="46.7109375" style="95" bestFit="1" customWidth="1"/>
    <col min="6882" max="7120" width="9.140625" style="95"/>
    <col min="7121" max="7121" width="61" style="95" customWidth="1"/>
    <col min="7122" max="7122" width="9.140625" style="95" customWidth="1"/>
    <col min="7123" max="7123" width="5.85546875" style="95" customWidth="1"/>
    <col min="7124" max="7124" width="5.140625" style="95" customWidth="1"/>
    <col min="7125" max="7125" width="18.140625" style="95" customWidth="1"/>
    <col min="7126" max="7126" width="8.5703125" style="95" customWidth="1"/>
    <col min="7127" max="7127" width="27.140625" style="95" customWidth="1"/>
    <col min="7128" max="7134" width="0" style="95" hidden="1" customWidth="1"/>
    <col min="7135" max="7135" width="12.42578125" style="95" bestFit="1" customWidth="1"/>
    <col min="7136" max="7136" width="13.28515625" style="95" bestFit="1" customWidth="1"/>
    <col min="7137" max="7137" width="46.7109375" style="95" bestFit="1" customWidth="1"/>
    <col min="7138" max="7376" width="9.140625" style="95"/>
    <col min="7377" max="7377" width="61" style="95" customWidth="1"/>
    <col min="7378" max="7378" width="9.140625" style="95" customWidth="1"/>
    <col min="7379" max="7379" width="5.85546875" style="95" customWidth="1"/>
    <col min="7380" max="7380" width="5.140625" style="95" customWidth="1"/>
    <col min="7381" max="7381" width="18.140625" style="95" customWidth="1"/>
    <col min="7382" max="7382" width="8.5703125" style="95" customWidth="1"/>
    <col min="7383" max="7383" width="27.140625" style="95" customWidth="1"/>
    <col min="7384" max="7390" width="0" style="95" hidden="1" customWidth="1"/>
    <col min="7391" max="7391" width="12.42578125" style="95" bestFit="1" customWidth="1"/>
    <col min="7392" max="7392" width="13.28515625" style="95" bestFit="1" customWidth="1"/>
    <col min="7393" max="7393" width="46.7109375" style="95" bestFit="1" customWidth="1"/>
    <col min="7394" max="7632" width="9.140625" style="95"/>
    <col min="7633" max="7633" width="61" style="95" customWidth="1"/>
    <col min="7634" max="7634" width="9.140625" style="95" customWidth="1"/>
    <col min="7635" max="7635" width="5.85546875" style="95" customWidth="1"/>
    <col min="7636" max="7636" width="5.140625" style="95" customWidth="1"/>
    <col min="7637" max="7637" width="18.140625" style="95" customWidth="1"/>
    <col min="7638" max="7638" width="8.5703125" style="95" customWidth="1"/>
    <col min="7639" max="7639" width="27.140625" style="95" customWidth="1"/>
    <col min="7640" max="7646" width="0" style="95" hidden="1" customWidth="1"/>
    <col min="7647" max="7647" width="12.42578125" style="95" bestFit="1" customWidth="1"/>
    <col min="7648" max="7648" width="13.28515625" style="95" bestFit="1" customWidth="1"/>
    <col min="7649" max="7649" width="46.7109375" style="95" bestFit="1" customWidth="1"/>
    <col min="7650" max="7888" width="9.140625" style="95"/>
    <col min="7889" max="7889" width="61" style="95" customWidth="1"/>
    <col min="7890" max="7890" width="9.140625" style="95" customWidth="1"/>
    <col min="7891" max="7891" width="5.85546875" style="95" customWidth="1"/>
    <col min="7892" max="7892" width="5.140625" style="95" customWidth="1"/>
    <col min="7893" max="7893" width="18.140625" style="95" customWidth="1"/>
    <col min="7894" max="7894" width="8.5703125" style="95" customWidth="1"/>
    <col min="7895" max="7895" width="27.140625" style="95" customWidth="1"/>
    <col min="7896" max="7902" width="0" style="95" hidden="1" customWidth="1"/>
    <col min="7903" max="7903" width="12.42578125" style="95" bestFit="1" customWidth="1"/>
    <col min="7904" max="7904" width="13.28515625" style="95" bestFit="1" customWidth="1"/>
    <col min="7905" max="7905" width="46.7109375" style="95" bestFit="1" customWidth="1"/>
    <col min="7906" max="8144" width="9.140625" style="95"/>
    <col min="8145" max="8145" width="61" style="95" customWidth="1"/>
    <col min="8146" max="8146" width="9.140625" style="95" customWidth="1"/>
    <col min="8147" max="8147" width="5.85546875" style="95" customWidth="1"/>
    <col min="8148" max="8148" width="5.140625" style="95" customWidth="1"/>
    <col min="8149" max="8149" width="18.140625" style="95" customWidth="1"/>
    <col min="8150" max="8150" width="8.5703125" style="95" customWidth="1"/>
    <col min="8151" max="8151" width="27.140625" style="95" customWidth="1"/>
    <col min="8152" max="8158" width="0" style="95" hidden="1" customWidth="1"/>
    <col min="8159" max="8159" width="12.42578125" style="95" bestFit="1" customWidth="1"/>
    <col min="8160" max="8160" width="13.28515625" style="95" bestFit="1" customWidth="1"/>
    <col min="8161" max="8161" width="46.7109375" style="95" bestFit="1" customWidth="1"/>
    <col min="8162" max="8400" width="9.140625" style="95"/>
    <col min="8401" max="8401" width="61" style="95" customWidth="1"/>
    <col min="8402" max="8402" width="9.140625" style="95" customWidth="1"/>
    <col min="8403" max="8403" width="5.85546875" style="95" customWidth="1"/>
    <col min="8404" max="8404" width="5.140625" style="95" customWidth="1"/>
    <col min="8405" max="8405" width="18.140625" style="95" customWidth="1"/>
    <col min="8406" max="8406" width="8.5703125" style="95" customWidth="1"/>
    <col min="8407" max="8407" width="27.140625" style="95" customWidth="1"/>
    <col min="8408" max="8414" width="0" style="95" hidden="1" customWidth="1"/>
    <col min="8415" max="8415" width="12.42578125" style="95" bestFit="1" customWidth="1"/>
    <col min="8416" max="8416" width="13.28515625" style="95" bestFit="1" customWidth="1"/>
    <col min="8417" max="8417" width="46.7109375" style="95" bestFit="1" customWidth="1"/>
    <col min="8418" max="8656" width="9.140625" style="95"/>
    <col min="8657" max="8657" width="61" style="95" customWidth="1"/>
    <col min="8658" max="8658" width="9.140625" style="95" customWidth="1"/>
    <col min="8659" max="8659" width="5.85546875" style="95" customWidth="1"/>
    <col min="8660" max="8660" width="5.140625" style="95" customWidth="1"/>
    <col min="8661" max="8661" width="18.140625" style="95" customWidth="1"/>
    <col min="8662" max="8662" width="8.5703125" style="95" customWidth="1"/>
    <col min="8663" max="8663" width="27.140625" style="95" customWidth="1"/>
    <col min="8664" max="8670" width="0" style="95" hidden="1" customWidth="1"/>
    <col min="8671" max="8671" width="12.42578125" style="95" bestFit="1" customWidth="1"/>
    <col min="8672" max="8672" width="13.28515625" style="95" bestFit="1" customWidth="1"/>
    <col min="8673" max="8673" width="46.7109375" style="95" bestFit="1" customWidth="1"/>
    <col min="8674" max="8912" width="9.140625" style="95"/>
    <col min="8913" max="8913" width="61" style="95" customWidth="1"/>
    <col min="8914" max="8914" width="9.140625" style="95" customWidth="1"/>
    <col min="8915" max="8915" width="5.85546875" style="95" customWidth="1"/>
    <col min="8916" max="8916" width="5.140625" style="95" customWidth="1"/>
    <col min="8917" max="8917" width="18.140625" style="95" customWidth="1"/>
    <col min="8918" max="8918" width="8.5703125" style="95" customWidth="1"/>
    <col min="8919" max="8919" width="27.140625" style="95" customWidth="1"/>
    <col min="8920" max="8926" width="0" style="95" hidden="1" customWidth="1"/>
    <col min="8927" max="8927" width="12.42578125" style="95" bestFit="1" customWidth="1"/>
    <col min="8928" max="8928" width="13.28515625" style="95" bestFit="1" customWidth="1"/>
    <col min="8929" max="8929" width="46.7109375" style="95" bestFit="1" customWidth="1"/>
    <col min="8930" max="9168" width="9.140625" style="95"/>
    <col min="9169" max="9169" width="61" style="95" customWidth="1"/>
    <col min="9170" max="9170" width="9.140625" style="95" customWidth="1"/>
    <col min="9171" max="9171" width="5.85546875" style="95" customWidth="1"/>
    <col min="9172" max="9172" width="5.140625" style="95" customWidth="1"/>
    <col min="9173" max="9173" width="18.140625" style="95" customWidth="1"/>
    <col min="9174" max="9174" width="8.5703125" style="95" customWidth="1"/>
    <col min="9175" max="9175" width="27.140625" style="95" customWidth="1"/>
    <col min="9176" max="9182" width="0" style="95" hidden="1" customWidth="1"/>
    <col min="9183" max="9183" width="12.42578125" style="95" bestFit="1" customWidth="1"/>
    <col min="9184" max="9184" width="13.28515625" style="95" bestFit="1" customWidth="1"/>
    <col min="9185" max="9185" width="46.7109375" style="95" bestFit="1" customWidth="1"/>
    <col min="9186" max="9424" width="9.140625" style="95"/>
    <col min="9425" max="9425" width="61" style="95" customWidth="1"/>
    <col min="9426" max="9426" width="9.140625" style="95" customWidth="1"/>
    <col min="9427" max="9427" width="5.85546875" style="95" customWidth="1"/>
    <col min="9428" max="9428" width="5.140625" style="95" customWidth="1"/>
    <col min="9429" max="9429" width="18.140625" style="95" customWidth="1"/>
    <col min="9430" max="9430" width="8.5703125" style="95" customWidth="1"/>
    <col min="9431" max="9431" width="27.140625" style="95" customWidth="1"/>
    <col min="9432" max="9438" width="0" style="95" hidden="1" customWidth="1"/>
    <col min="9439" max="9439" width="12.42578125" style="95" bestFit="1" customWidth="1"/>
    <col min="9440" max="9440" width="13.28515625" style="95" bestFit="1" customWidth="1"/>
    <col min="9441" max="9441" width="46.7109375" style="95" bestFit="1" customWidth="1"/>
    <col min="9442" max="9680" width="9.140625" style="95"/>
    <col min="9681" max="9681" width="61" style="95" customWidth="1"/>
    <col min="9682" max="9682" width="9.140625" style="95" customWidth="1"/>
    <col min="9683" max="9683" width="5.85546875" style="95" customWidth="1"/>
    <col min="9684" max="9684" width="5.140625" style="95" customWidth="1"/>
    <col min="9685" max="9685" width="18.140625" style="95" customWidth="1"/>
    <col min="9686" max="9686" width="8.5703125" style="95" customWidth="1"/>
    <col min="9687" max="9687" width="27.140625" style="95" customWidth="1"/>
    <col min="9688" max="9694" width="0" style="95" hidden="1" customWidth="1"/>
    <col min="9695" max="9695" width="12.42578125" style="95" bestFit="1" customWidth="1"/>
    <col min="9696" max="9696" width="13.28515625" style="95" bestFit="1" customWidth="1"/>
    <col min="9697" max="9697" width="46.7109375" style="95" bestFit="1" customWidth="1"/>
    <col min="9698" max="9936" width="9.140625" style="95"/>
    <col min="9937" max="9937" width="61" style="95" customWidth="1"/>
    <col min="9938" max="9938" width="9.140625" style="95" customWidth="1"/>
    <col min="9939" max="9939" width="5.85546875" style="95" customWidth="1"/>
    <col min="9940" max="9940" width="5.140625" style="95" customWidth="1"/>
    <col min="9941" max="9941" width="18.140625" style="95" customWidth="1"/>
    <col min="9942" max="9942" width="8.5703125" style="95" customWidth="1"/>
    <col min="9943" max="9943" width="27.140625" style="95" customWidth="1"/>
    <col min="9944" max="9950" width="0" style="95" hidden="1" customWidth="1"/>
    <col min="9951" max="9951" width="12.42578125" style="95" bestFit="1" customWidth="1"/>
    <col min="9952" max="9952" width="13.28515625" style="95" bestFit="1" customWidth="1"/>
    <col min="9953" max="9953" width="46.7109375" style="95" bestFit="1" customWidth="1"/>
    <col min="9954" max="10192" width="9.140625" style="95"/>
    <col min="10193" max="10193" width="61" style="95" customWidth="1"/>
    <col min="10194" max="10194" width="9.140625" style="95" customWidth="1"/>
    <col min="10195" max="10195" width="5.85546875" style="95" customWidth="1"/>
    <col min="10196" max="10196" width="5.140625" style="95" customWidth="1"/>
    <col min="10197" max="10197" width="18.140625" style="95" customWidth="1"/>
    <col min="10198" max="10198" width="8.5703125" style="95" customWidth="1"/>
    <col min="10199" max="10199" width="27.140625" style="95" customWidth="1"/>
    <col min="10200" max="10206" width="0" style="95" hidden="1" customWidth="1"/>
    <col min="10207" max="10207" width="12.42578125" style="95" bestFit="1" customWidth="1"/>
    <col min="10208" max="10208" width="13.28515625" style="95" bestFit="1" customWidth="1"/>
    <col min="10209" max="10209" width="46.7109375" style="95" bestFit="1" customWidth="1"/>
    <col min="10210" max="10448" width="9.140625" style="95"/>
    <col min="10449" max="10449" width="61" style="95" customWidth="1"/>
    <col min="10450" max="10450" width="9.140625" style="95" customWidth="1"/>
    <col min="10451" max="10451" width="5.85546875" style="95" customWidth="1"/>
    <col min="10452" max="10452" width="5.140625" style="95" customWidth="1"/>
    <col min="10453" max="10453" width="18.140625" style="95" customWidth="1"/>
    <col min="10454" max="10454" width="8.5703125" style="95" customWidth="1"/>
    <col min="10455" max="10455" width="27.140625" style="95" customWidth="1"/>
    <col min="10456" max="10462" width="0" style="95" hidden="1" customWidth="1"/>
    <col min="10463" max="10463" width="12.42578125" style="95" bestFit="1" customWidth="1"/>
    <col min="10464" max="10464" width="13.28515625" style="95" bestFit="1" customWidth="1"/>
    <col min="10465" max="10465" width="46.7109375" style="95" bestFit="1" customWidth="1"/>
    <col min="10466" max="10704" width="9.140625" style="95"/>
    <col min="10705" max="10705" width="61" style="95" customWidth="1"/>
    <col min="10706" max="10706" width="9.140625" style="95" customWidth="1"/>
    <col min="10707" max="10707" width="5.85546875" style="95" customWidth="1"/>
    <col min="10708" max="10708" width="5.140625" style="95" customWidth="1"/>
    <col min="10709" max="10709" width="18.140625" style="95" customWidth="1"/>
    <col min="10710" max="10710" width="8.5703125" style="95" customWidth="1"/>
    <col min="10711" max="10711" width="27.140625" style="95" customWidth="1"/>
    <col min="10712" max="10718" width="0" style="95" hidden="1" customWidth="1"/>
    <col min="10719" max="10719" width="12.42578125" style="95" bestFit="1" customWidth="1"/>
    <col min="10720" max="10720" width="13.28515625" style="95" bestFit="1" customWidth="1"/>
    <col min="10721" max="10721" width="46.7109375" style="95" bestFit="1" customWidth="1"/>
    <col min="10722" max="10960" width="9.140625" style="95"/>
    <col min="10961" max="10961" width="61" style="95" customWidth="1"/>
    <col min="10962" max="10962" width="9.140625" style="95" customWidth="1"/>
    <col min="10963" max="10963" width="5.85546875" style="95" customWidth="1"/>
    <col min="10964" max="10964" width="5.140625" style="95" customWidth="1"/>
    <col min="10965" max="10965" width="18.140625" style="95" customWidth="1"/>
    <col min="10966" max="10966" width="8.5703125" style="95" customWidth="1"/>
    <col min="10967" max="10967" width="27.140625" style="95" customWidth="1"/>
    <col min="10968" max="10974" width="0" style="95" hidden="1" customWidth="1"/>
    <col min="10975" max="10975" width="12.42578125" style="95" bestFit="1" customWidth="1"/>
    <col min="10976" max="10976" width="13.28515625" style="95" bestFit="1" customWidth="1"/>
    <col min="10977" max="10977" width="46.7109375" style="95" bestFit="1" customWidth="1"/>
    <col min="10978" max="11216" width="9.140625" style="95"/>
    <col min="11217" max="11217" width="61" style="95" customWidth="1"/>
    <col min="11218" max="11218" width="9.140625" style="95" customWidth="1"/>
    <col min="11219" max="11219" width="5.85546875" style="95" customWidth="1"/>
    <col min="11220" max="11220" width="5.140625" style="95" customWidth="1"/>
    <col min="11221" max="11221" width="18.140625" style="95" customWidth="1"/>
    <col min="11222" max="11222" width="8.5703125" style="95" customWidth="1"/>
    <col min="11223" max="11223" width="27.140625" style="95" customWidth="1"/>
    <col min="11224" max="11230" width="0" style="95" hidden="1" customWidth="1"/>
    <col min="11231" max="11231" width="12.42578125" style="95" bestFit="1" customWidth="1"/>
    <col min="11232" max="11232" width="13.28515625" style="95" bestFit="1" customWidth="1"/>
    <col min="11233" max="11233" width="46.7109375" style="95" bestFit="1" customWidth="1"/>
    <col min="11234" max="11472" width="9.140625" style="95"/>
    <col min="11473" max="11473" width="61" style="95" customWidth="1"/>
    <col min="11474" max="11474" width="9.140625" style="95" customWidth="1"/>
    <col min="11475" max="11475" width="5.85546875" style="95" customWidth="1"/>
    <col min="11476" max="11476" width="5.140625" style="95" customWidth="1"/>
    <col min="11477" max="11477" width="18.140625" style="95" customWidth="1"/>
    <col min="11478" max="11478" width="8.5703125" style="95" customWidth="1"/>
    <col min="11479" max="11479" width="27.140625" style="95" customWidth="1"/>
    <col min="11480" max="11486" width="0" style="95" hidden="1" customWidth="1"/>
    <col min="11487" max="11487" width="12.42578125" style="95" bestFit="1" customWidth="1"/>
    <col min="11488" max="11488" width="13.28515625" style="95" bestFit="1" customWidth="1"/>
    <col min="11489" max="11489" width="46.7109375" style="95" bestFit="1" customWidth="1"/>
    <col min="11490" max="11728" width="9.140625" style="95"/>
    <col min="11729" max="11729" width="61" style="95" customWidth="1"/>
    <col min="11730" max="11730" width="9.140625" style="95" customWidth="1"/>
    <col min="11731" max="11731" width="5.85546875" style="95" customWidth="1"/>
    <col min="11732" max="11732" width="5.140625" style="95" customWidth="1"/>
    <col min="11733" max="11733" width="18.140625" style="95" customWidth="1"/>
    <col min="11734" max="11734" width="8.5703125" style="95" customWidth="1"/>
    <col min="11735" max="11735" width="27.140625" style="95" customWidth="1"/>
    <col min="11736" max="11742" width="0" style="95" hidden="1" customWidth="1"/>
    <col min="11743" max="11743" width="12.42578125" style="95" bestFit="1" customWidth="1"/>
    <col min="11744" max="11744" width="13.28515625" style="95" bestFit="1" customWidth="1"/>
    <col min="11745" max="11745" width="46.7109375" style="95" bestFit="1" customWidth="1"/>
    <col min="11746" max="11984" width="9.140625" style="95"/>
    <col min="11985" max="11985" width="61" style="95" customWidth="1"/>
    <col min="11986" max="11986" width="9.140625" style="95" customWidth="1"/>
    <col min="11987" max="11987" width="5.85546875" style="95" customWidth="1"/>
    <col min="11988" max="11988" width="5.140625" style="95" customWidth="1"/>
    <col min="11989" max="11989" width="18.140625" style="95" customWidth="1"/>
    <col min="11990" max="11990" width="8.5703125" style="95" customWidth="1"/>
    <col min="11991" max="11991" width="27.140625" style="95" customWidth="1"/>
    <col min="11992" max="11998" width="0" style="95" hidden="1" customWidth="1"/>
    <col min="11999" max="11999" width="12.42578125" style="95" bestFit="1" customWidth="1"/>
    <col min="12000" max="12000" width="13.28515625" style="95" bestFit="1" customWidth="1"/>
    <col min="12001" max="12001" width="46.7109375" style="95" bestFit="1" customWidth="1"/>
    <col min="12002" max="12240" width="9.140625" style="95"/>
    <col min="12241" max="12241" width="61" style="95" customWidth="1"/>
    <col min="12242" max="12242" width="9.140625" style="95" customWidth="1"/>
    <col min="12243" max="12243" width="5.85546875" style="95" customWidth="1"/>
    <col min="12244" max="12244" width="5.140625" style="95" customWidth="1"/>
    <col min="12245" max="12245" width="18.140625" style="95" customWidth="1"/>
    <col min="12246" max="12246" width="8.5703125" style="95" customWidth="1"/>
    <col min="12247" max="12247" width="27.140625" style="95" customWidth="1"/>
    <col min="12248" max="12254" width="0" style="95" hidden="1" customWidth="1"/>
    <col min="12255" max="12255" width="12.42578125" style="95" bestFit="1" customWidth="1"/>
    <col min="12256" max="12256" width="13.28515625" style="95" bestFit="1" customWidth="1"/>
    <col min="12257" max="12257" width="46.7109375" style="95" bestFit="1" customWidth="1"/>
    <col min="12258" max="12496" width="9.140625" style="95"/>
    <col min="12497" max="12497" width="61" style="95" customWidth="1"/>
    <col min="12498" max="12498" width="9.140625" style="95" customWidth="1"/>
    <col min="12499" max="12499" width="5.85546875" style="95" customWidth="1"/>
    <col min="12500" max="12500" width="5.140625" style="95" customWidth="1"/>
    <col min="12501" max="12501" width="18.140625" style="95" customWidth="1"/>
    <col min="12502" max="12502" width="8.5703125" style="95" customWidth="1"/>
    <col min="12503" max="12503" width="27.140625" style="95" customWidth="1"/>
    <col min="12504" max="12510" width="0" style="95" hidden="1" customWidth="1"/>
    <col min="12511" max="12511" width="12.42578125" style="95" bestFit="1" customWidth="1"/>
    <col min="12512" max="12512" width="13.28515625" style="95" bestFit="1" customWidth="1"/>
    <col min="12513" max="12513" width="46.7109375" style="95" bestFit="1" customWidth="1"/>
    <col min="12514" max="12752" width="9.140625" style="95"/>
    <col min="12753" max="12753" width="61" style="95" customWidth="1"/>
    <col min="12754" max="12754" width="9.140625" style="95" customWidth="1"/>
    <col min="12755" max="12755" width="5.85546875" style="95" customWidth="1"/>
    <col min="12756" max="12756" width="5.140625" style="95" customWidth="1"/>
    <col min="12757" max="12757" width="18.140625" style="95" customWidth="1"/>
    <col min="12758" max="12758" width="8.5703125" style="95" customWidth="1"/>
    <col min="12759" max="12759" width="27.140625" style="95" customWidth="1"/>
    <col min="12760" max="12766" width="0" style="95" hidden="1" customWidth="1"/>
    <col min="12767" max="12767" width="12.42578125" style="95" bestFit="1" customWidth="1"/>
    <col min="12768" max="12768" width="13.28515625" style="95" bestFit="1" customWidth="1"/>
    <col min="12769" max="12769" width="46.7109375" style="95" bestFit="1" customWidth="1"/>
    <col min="12770" max="13008" width="9.140625" style="95"/>
    <col min="13009" max="13009" width="61" style="95" customWidth="1"/>
    <col min="13010" max="13010" width="9.140625" style="95" customWidth="1"/>
    <col min="13011" max="13011" width="5.85546875" style="95" customWidth="1"/>
    <col min="13012" max="13012" width="5.140625" style="95" customWidth="1"/>
    <col min="13013" max="13013" width="18.140625" style="95" customWidth="1"/>
    <col min="13014" max="13014" width="8.5703125" style="95" customWidth="1"/>
    <col min="13015" max="13015" width="27.140625" style="95" customWidth="1"/>
    <col min="13016" max="13022" width="0" style="95" hidden="1" customWidth="1"/>
    <col min="13023" max="13023" width="12.42578125" style="95" bestFit="1" customWidth="1"/>
    <col min="13024" max="13024" width="13.28515625" style="95" bestFit="1" customWidth="1"/>
    <col min="13025" max="13025" width="46.7109375" style="95" bestFit="1" customWidth="1"/>
    <col min="13026" max="13264" width="9.140625" style="95"/>
    <col min="13265" max="13265" width="61" style="95" customWidth="1"/>
    <col min="13266" max="13266" width="9.140625" style="95" customWidth="1"/>
    <col min="13267" max="13267" width="5.85546875" style="95" customWidth="1"/>
    <col min="13268" max="13268" width="5.140625" style="95" customWidth="1"/>
    <col min="13269" max="13269" width="18.140625" style="95" customWidth="1"/>
    <col min="13270" max="13270" width="8.5703125" style="95" customWidth="1"/>
    <col min="13271" max="13271" width="27.140625" style="95" customWidth="1"/>
    <col min="13272" max="13278" width="0" style="95" hidden="1" customWidth="1"/>
    <col min="13279" max="13279" width="12.42578125" style="95" bestFit="1" customWidth="1"/>
    <col min="13280" max="13280" width="13.28515625" style="95" bestFit="1" customWidth="1"/>
    <col min="13281" max="13281" width="46.7109375" style="95" bestFit="1" customWidth="1"/>
    <col min="13282" max="13520" width="9.140625" style="95"/>
    <col min="13521" max="13521" width="61" style="95" customWidth="1"/>
    <col min="13522" max="13522" width="9.140625" style="95" customWidth="1"/>
    <col min="13523" max="13523" width="5.85546875" style="95" customWidth="1"/>
    <col min="13524" max="13524" width="5.140625" style="95" customWidth="1"/>
    <col min="13525" max="13525" width="18.140625" style="95" customWidth="1"/>
    <col min="13526" max="13526" width="8.5703125" style="95" customWidth="1"/>
    <col min="13527" max="13527" width="27.140625" style="95" customWidth="1"/>
    <col min="13528" max="13534" width="0" style="95" hidden="1" customWidth="1"/>
    <col min="13535" max="13535" width="12.42578125" style="95" bestFit="1" customWidth="1"/>
    <col min="13536" max="13536" width="13.28515625" style="95" bestFit="1" customWidth="1"/>
    <col min="13537" max="13537" width="46.7109375" style="95" bestFit="1" customWidth="1"/>
    <col min="13538" max="13776" width="9.140625" style="95"/>
    <col min="13777" max="13777" width="61" style="95" customWidth="1"/>
    <col min="13778" max="13778" width="9.140625" style="95" customWidth="1"/>
    <col min="13779" max="13779" width="5.85546875" style="95" customWidth="1"/>
    <col min="13780" max="13780" width="5.140625" style="95" customWidth="1"/>
    <col min="13781" max="13781" width="18.140625" style="95" customWidth="1"/>
    <col min="13782" max="13782" width="8.5703125" style="95" customWidth="1"/>
    <col min="13783" max="13783" width="27.140625" style="95" customWidth="1"/>
    <col min="13784" max="13790" width="0" style="95" hidden="1" customWidth="1"/>
    <col min="13791" max="13791" width="12.42578125" style="95" bestFit="1" customWidth="1"/>
    <col min="13792" max="13792" width="13.28515625" style="95" bestFit="1" customWidth="1"/>
    <col min="13793" max="13793" width="46.7109375" style="95" bestFit="1" customWidth="1"/>
    <col min="13794" max="14032" width="9.140625" style="95"/>
    <col min="14033" max="14033" width="61" style="95" customWidth="1"/>
    <col min="14034" max="14034" width="9.140625" style="95" customWidth="1"/>
    <col min="14035" max="14035" width="5.85546875" style="95" customWidth="1"/>
    <col min="14036" max="14036" width="5.140625" style="95" customWidth="1"/>
    <col min="14037" max="14037" width="18.140625" style="95" customWidth="1"/>
    <col min="14038" max="14038" width="8.5703125" style="95" customWidth="1"/>
    <col min="14039" max="14039" width="27.140625" style="95" customWidth="1"/>
    <col min="14040" max="14046" width="0" style="95" hidden="1" customWidth="1"/>
    <col min="14047" max="14047" width="12.42578125" style="95" bestFit="1" customWidth="1"/>
    <col min="14048" max="14048" width="13.28515625" style="95" bestFit="1" customWidth="1"/>
    <col min="14049" max="14049" width="46.7109375" style="95" bestFit="1" customWidth="1"/>
    <col min="14050" max="14288" width="9.140625" style="95"/>
    <col min="14289" max="14289" width="61" style="95" customWidth="1"/>
    <col min="14290" max="14290" width="9.140625" style="95" customWidth="1"/>
    <col min="14291" max="14291" width="5.85546875" style="95" customWidth="1"/>
    <col min="14292" max="14292" width="5.140625" style="95" customWidth="1"/>
    <col min="14293" max="14293" width="18.140625" style="95" customWidth="1"/>
    <col min="14294" max="14294" width="8.5703125" style="95" customWidth="1"/>
    <col min="14295" max="14295" width="27.140625" style="95" customWidth="1"/>
    <col min="14296" max="14302" width="0" style="95" hidden="1" customWidth="1"/>
    <col min="14303" max="14303" width="12.42578125" style="95" bestFit="1" customWidth="1"/>
    <col min="14304" max="14304" width="13.28515625" style="95" bestFit="1" customWidth="1"/>
    <col min="14305" max="14305" width="46.7109375" style="95" bestFit="1" customWidth="1"/>
    <col min="14306" max="14544" width="9.140625" style="95"/>
    <col min="14545" max="14545" width="61" style="95" customWidth="1"/>
    <col min="14546" max="14546" width="9.140625" style="95" customWidth="1"/>
    <col min="14547" max="14547" width="5.85546875" style="95" customWidth="1"/>
    <col min="14548" max="14548" width="5.140625" style="95" customWidth="1"/>
    <col min="14549" max="14549" width="18.140625" style="95" customWidth="1"/>
    <col min="14550" max="14550" width="8.5703125" style="95" customWidth="1"/>
    <col min="14551" max="14551" width="27.140625" style="95" customWidth="1"/>
    <col min="14552" max="14558" width="0" style="95" hidden="1" customWidth="1"/>
    <col min="14559" max="14559" width="12.42578125" style="95" bestFit="1" customWidth="1"/>
    <col min="14560" max="14560" width="13.28515625" style="95" bestFit="1" customWidth="1"/>
    <col min="14561" max="14561" width="46.7109375" style="95" bestFit="1" customWidth="1"/>
    <col min="14562" max="14800" width="9.140625" style="95"/>
    <col min="14801" max="14801" width="61" style="95" customWidth="1"/>
    <col min="14802" max="14802" width="9.140625" style="95" customWidth="1"/>
    <col min="14803" max="14803" width="5.85546875" style="95" customWidth="1"/>
    <col min="14804" max="14804" width="5.140625" style="95" customWidth="1"/>
    <col min="14805" max="14805" width="18.140625" style="95" customWidth="1"/>
    <col min="14806" max="14806" width="8.5703125" style="95" customWidth="1"/>
    <col min="14807" max="14807" width="27.140625" style="95" customWidth="1"/>
    <col min="14808" max="14814" width="0" style="95" hidden="1" customWidth="1"/>
    <col min="14815" max="14815" width="12.42578125" style="95" bestFit="1" customWidth="1"/>
    <col min="14816" max="14816" width="13.28515625" style="95" bestFit="1" customWidth="1"/>
    <col min="14817" max="14817" width="46.7109375" style="95" bestFit="1" customWidth="1"/>
    <col min="14818" max="15056" width="9.140625" style="95"/>
    <col min="15057" max="15057" width="61" style="95" customWidth="1"/>
    <col min="15058" max="15058" width="9.140625" style="95" customWidth="1"/>
    <col min="15059" max="15059" width="5.85546875" style="95" customWidth="1"/>
    <col min="15060" max="15060" width="5.140625" style="95" customWidth="1"/>
    <col min="15061" max="15061" width="18.140625" style="95" customWidth="1"/>
    <col min="15062" max="15062" width="8.5703125" style="95" customWidth="1"/>
    <col min="15063" max="15063" width="27.140625" style="95" customWidth="1"/>
    <col min="15064" max="15070" width="0" style="95" hidden="1" customWidth="1"/>
    <col min="15071" max="15071" width="12.42578125" style="95" bestFit="1" customWidth="1"/>
    <col min="15072" max="15072" width="13.28515625" style="95" bestFit="1" customWidth="1"/>
    <col min="15073" max="15073" width="46.7109375" style="95" bestFit="1" customWidth="1"/>
    <col min="15074" max="15312" width="9.140625" style="95"/>
    <col min="15313" max="15313" width="61" style="95" customWidth="1"/>
    <col min="15314" max="15314" width="9.140625" style="95" customWidth="1"/>
    <col min="15315" max="15315" width="5.85546875" style="95" customWidth="1"/>
    <col min="15316" max="15316" width="5.140625" style="95" customWidth="1"/>
    <col min="15317" max="15317" width="18.140625" style="95" customWidth="1"/>
    <col min="15318" max="15318" width="8.5703125" style="95" customWidth="1"/>
    <col min="15319" max="15319" width="27.140625" style="95" customWidth="1"/>
    <col min="15320" max="15326" width="0" style="95" hidden="1" customWidth="1"/>
    <col min="15327" max="15327" width="12.42578125" style="95" bestFit="1" customWidth="1"/>
    <col min="15328" max="15328" width="13.28515625" style="95" bestFit="1" customWidth="1"/>
    <col min="15329" max="15329" width="46.7109375" style="95" bestFit="1" customWidth="1"/>
    <col min="15330" max="15568" width="9.140625" style="95"/>
    <col min="15569" max="15569" width="61" style="95" customWidth="1"/>
    <col min="15570" max="15570" width="9.140625" style="95" customWidth="1"/>
    <col min="15571" max="15571" width="5.85546875" style="95" customWidth="1"/>
    <col min="15572" max="15572" width="5.140625" style="95" customWidth="1"/>
    <col min="15573" max="15573" width="18.140625" style="95" customWidth="1"/>
    <col min="15574" max="15574" width="8.5703125" style="95" customWidth="1"/>
    <col min="15575" max="15575" width="27.140625" style="95" customWidth="1"/>
    <col min="15576" max="15582" width="0" style="95" hidden="1" customWidth="1"/>
    <col min="15583" max="15583" width="12.42578125" style="95" bestFit="1" customWidth="1"/>
    <col min="15584" max="15584" width="13.28515625" style="95" bestFit="1" customWidth="1"/>
    <col min="15585" max="15585" width="46.7109375" style="95" bestFit="1" customWidth="1"/>
    <col min="15586" max="15824" width="9.140625" style="95"/>
    <col min="15825" max="15825" width="61" style="95" customWidth="1"/>
    <col min="15826" max="15826" width="9.140625" style="95" customWidth="1"/>
    <col min="15827" max="15827" width="5.85546875" style="95" customWidth="1"/>
    <col min="15828" max="15828" width="5.140625" style="95" customWidth="1"/>
    <col min="15829" max="15829" width="18.140625" style="95" customWidth="1"/>
    <col min="15830" max="15830" width="8.5703125" style="95" customWidth="1"/>
    <col min="15831" max="15831" width="27.140625" style="95" customWidth="1"/>
    <col min="15832" max="15838" width="0" style="95" hidden="1" customWidth="1"/>
    <col min="15839" max="15839" width="12.42578125" style="95" bestFit="1" customWidth="1"/>
    <col min="15840" max="15840" width="13.28515625" style="95" bestFit="1" customWidth="1"/>
    <col min="15841" max="15841" width="46.7109375" style="95" bestFit="1" customWidth="1"/>
    <col min="15842" max="16080" width="9.140625" style="95"/>
    <col min="16081" max="16081" width="61" style="95" customWidth="1"/>
    <col min="16082" max="16082" width="9.140625" style="95" customWidth="1"/>
    <col min="16083" max="16083" width="5.85546875" style="95" customWidth="1"/>
    <col min="16084" max="16084" width="5.140625" style="95" customWidth="1"/>
    <col min="16085" max="16085" width="18.140625" style="95" customWidth="1"/>
    <col min="16086" max="16086" width="8.5703125" style="95" customWidth="1"/>
    <col min="16087" max="16087" width="27.140625" style="95" customWidth="1"/>
    <col min="16088" max="16094" width="0" style="95" hidden="1" customWidth="1"/>
    <col min="16095" max="16095" width="12.42578125" style="95" bestFit="1" customWidth="1"/>
    <col min="16096" max="16096" width="13.28515625" style="95" bestFit="1" customWidth="1"/>
    <col min="16097" max="16097" width="46.7109375" style="95" bestFit="1" customWidth="1"/>
    <col min="16098" max="16384" width="9.140625" style="95"/>
  </cols>
  <sheetData>
    <row r="1" spans="1:15" x14ac:dyDescent="0.2">
      <c r="G1" s="97" t="s">
        <v>15</v>
      </c>
    </row>
    <row r="2" spans="1:15" x14ac:dyDescent="0.2">
      <c r="G2" s="97" t="s">
        <v>192</v>
      </c>
    </row>
    <row r="3" spans="1:15" x14ac:dyDescent="0.2">
      <c r="G3" s="97" t="s">
        <v>17</v>
      </c>
    </row>
    <row r="4" spans="1:15" x14ac:dyDescent="0.2">
      <c r="G4" s="97" t="s">
        <v>18</v>
      </c>
    </row>
    <row r="5" spans="1:15" x14ac:dyDescent="0.2">
      <c r="G5" s="97" t="s">
        <v>19</v>
      </c>
    </row>
    <row r="6" spans="1:15" x14ac:dyDescent="0.2">
      <c r="G6" s="97" t="s">
        <v>699</v>
      </c>
    </row>
    <row r="7" spans="1:15" x14ac:dyDescent="0.2">
      <c r="G7" s="97" t="s">
        <v>700</v>
      </c>
    </row>
    <row r="9" spans="1:15" ht="117" customHeight="1" x14ac:dyDescent="0.2">
      <c r="A9" s="383" t="s">
        <v>433</v>
      </c>
      <c r="B9" s="383"/>
      <c r="C9" s="383"/>
      <c r="D9" s="383"/>
      <c r="E9" s="383"/>
      <c r="F9" s="383"/>
      <c r="G9" s="383"/>
      <c r="H9" s="383"/>
    </row>
    <row r="11" spans="1:15" x14ac:dyDescent="0.2">
      <c r="A11" s="96"/>
      <c r="G11" s="98"/>
    </row>
    <row r="12" spans="1:15" ht="30" x14ac:dyDescent="0.2">
      <c r="A12" s="99" t="s">
        <v>21</v>
      </c>
      <c r="B12" s="100" t="s">
        <v>193</v>
      </c>
      <c r="C12" s="100" t="s">
        <v>194</v>
      </c>
      <c r="D12" s="100" t="s">
        <v>165</v>
      </c>
      <c r="E12" s="100" t="s">
        <v>166</v>
      </c>
      <c r="F12" s="101" t="s">
        <v>22</v>
      </c>
      <c r="G12" s="101" t="s">
        <v>152</v>
      </c>
      <c r="H12" s="101" t="s">
        <v>434</v>
      </c>
    </row>
    <row r="13" spans="1:15" s="105" customFormat="1" ht="15.75" x14ac:dyDescent="0.25">
      <c r="A13" s="102" t="s">
        <v>195</v>
      </c>
      <c r="B13" s="103"/>
      <c r="C13" s="103"/>
      <c r="D13" s="103"/>
      <c r="E13" s="103"/>
      <c r="F13" s="104">
        <f>F14+F188+F106+F119+F229+F219+F138+F150+F177</f>
        <v>1493010886.1800001</v>
      </c>
      <c r="G13" s="104">
        <f>G14+G188+G106+G119+G229+G219+G138+G150+G177</f>
        <v>744885409.86000013</v>
      </c>
      <c r="H13" s="104">
        <f>H14+H188+H106+H119+H229+H219+H138+H150+H177</f>
        <v>813302041.78000009</v>
      </c>
      <c r="I13" s="106"/>
      <c r="J13" s="106"/>
      <c r="K13" s="106"/>
      <c r="L13" s="106"/>
      <c r="M13" s="106"/>
      <c r="N13" s="106"/>
      <c r="O13" s="106"/>
    </row>
    <row r="14" spans="1:15" s="105" customFormat="1" ht="15.75" x14ac:dyDescent="0.25">
      <c r="A14" s="82" t="s">
        <v>196</v>
      </c>
      <c r="B14" s="107" t="s">
        <v>197</v>
      </c>
      <c r="C14" s="107"/>
      <c r="D14" s="107"/>
      <c r="E14" s="107"/>
      <c r="F14" s="108">
        <f>F15+F20+F27+F35+F54+F59+F47</f>
        <v>810225601.10000002</v>
      </c>
      <c r="G14" s="108">
        <f>G15+G20+G27+G35+G54+G59+G47</f>
        <v>670674403.67000008</v>
      </c>
      <c r="H14" s="108">
        <f>H15+H20+H27+H35+H54+H59+H47</f>
        <v>720843028.67000008</v>
      </c>
      <c r="I14" s="106"/>
      <c r="J14" s="106"/>
      <c r="K14" s="106"/>
      <c r="L14" s="106"/>
      <c r="M14" s="106"/>
      <c r="N14" s="106"/>
      <c r="O14" s="106"/>
    </row>
    <row r="15" spans="1:15" s="105" customFormat="1" ht="47.25" x14ac:dyDescent="0.25">
      <c r="A15" s="82" t="s">
        <v>198</v>
      </c>
      <c r="B15" s="107" t="s">
        <v>197</v>
      </c>
      <c r="C15" s="107" t="s">
        <v>199</v>
      </c>
      <c r="D15" s="107"/>
      <c r="E15" s="107"/>
      <c r="F15" s="108">
        <f>F16</f>
        <v>8254050</v>
      </c>
      <c r="G15" s="108">
        <f t="shared" ref="F15:H18" si="0">G16</f>
        <v>8183550</v>
      </c>
      <c r="H15" s="108">
        <f t="shared" si="0"/>
        <v>8269250</v>
      </c>
      <c r="I15" s="106"/>
      <c r="J15" s="106"/>
      <c r="K15" s="106"/>
      <c r="L15" s="106"/>
      <c r="M15" s="106"/>
      <c r="N15" s="106"/>
      <c r="O15" s="106"/>
    </row>
    <row r="16" spans="1:15" s="105" customFormat="1" ht="15.75" x14ac:dyDescent="0.25">
      <c r="A16" s="82" t="s">
        <v>200</v>
      </c>
      <c r="B16" s="107" t="s">
        <v>197</v>
      </c>
      <c r="C16" s="107" t="s">
        <v>199</v>
      </c>
      <c r="D16" s="107" t="s">
        <v>201</v>
      </c>
      <c r="E16" s="107"/>
      <c r="F16" s="108">
        <f>F17</f>
        <v>8254050</v>
      </c>
      <c r="G16" s="108">
        <f t="shared" si="0"/>
        <v>8183550</v>
      </c>
      <c r="H16" s="108">
        <f t="shared" si="0"/>
        <v>8269250</v>
      </c>
      <c r="I16" s="106"/>
      <c r="J16" s="106"/>
      <c r="K16" s="106"/>
      <c r="L16" s="106"/>
      <c r="M16" s="106"/>
      <c r="N16" s="106"/>
      <c r="O16" s="106"/>
    </row>
    <row r="17" spans="1:15" ht="30" x14ac:dyDescent="0.2">
      <c r="A17" s="72" t="s">
        <v>202</v>
      </c>
      <c r="B17" s="109" t="s">
        <v>197</v>
      </c>
      <c r="C17" s="109" t="s">
        <v>199</v>
      </c>
      <c r="D17" s="109" t="s">
        <v>203</v>
      </c>
      <c r="E17" s="109"/>
      <c r="F17" s="110">
        <f t="shared" si="0"/>
        <v>8254050</v>
      </c>
      <c r="G17" s="110">
        <f t="shared" si="0"/>
        <v>8183550</v>
      </c>
      <c r="H17" s="110">
        <f t="shared" si="0"/>
        <v>8269250</v>
      </c>
    </row>
    <row r="18" spans="1:15" x14ac:dyDescent="0.2">
      <c r="A18" s="72" t="s">
        <v>204</v>
      </c>
      <c r="B18" s="109" t="s">
        <v>197</v>
      </c>
      <c r="C18" s="109" t="s">
        <v>199</v>
      </c>
      <c r="D18" s="109" t="s">
        <v>205</v>
      </c>
      <c r="E18" s="109"/>
      <c r="F18" s="110">
        <f t="shared" si="0"/>
        <v>8254050</v>
      </c>
      <c r="G18" s="110">
        <f t="shared" si="0"/>
        <v>8183550</v>
      </c>
      <c r="H18" s="110">
        <f t="shared" si="0"/>
        <v>8269250</v>
      </c>
    </row>
    <row r="19" spans="1:15" ht="75" x14ac:dyDescent="0.2">
      <c r="A19" s="72" t="s">
        <v>169</v>
      </c>
      <c r="B19" s="109" t="s">
        <v>197</v>
      </c>
      <c r="C19" s="109" t="s">
        <v>199</v>
      </c>
      <c r="D19" s="109" t="s">
        <v>205</v>
      </c>
      <c r="E19" s="109" t="s">
        <v>178</v>
      </c>
      <c r="F19" s="111">
        <f>8254050</f>
        <v>8254050</v>
      </c>
      <c r="G19" s="111">
        <v>8183550</v>
      </c>
      <c r="H19" s="111">
        <v>8269250</v>
      </c>
    </row>
    <row r="20" spans="1:15" s="105" customFormat="1" ht="63" x14ac:dyDescent="0.25">
      <c r="A20" s="82" t="s">
        <v>206</v>
      </c>
      <c r="B20" s="107" t="s">
        <v>197</v>
      </c>
      <c r="C20" s="107" t="s">
        <v>207</v>
      </c>
      <c r="D20" s="107"/>
      <c r="E20" s="107"/>
      <c r="F20" s="108">
        <f t="shared" ref="F20:H22" si="1">F21</f>
        <v>4178564.08</v>
      </c>
      <c r="G20" s="108">
        <f t="shared" si="1"/>
        <v>4296164.08</v>
      </c>
      <c r="H20" s="108">
        <f t="shared" si="1"/>
        <v>4296164.08</v>
      </c>
      <c r="I20" s="106"/>
      <c r="J20" s="106"/>
      <c r="K20" s="106"/>
      <c r="L20" s="106"/>
      <c r="M20" s="106"/>
      <c r="N20" s="106"/>
      <c r="O20" s="106"/>
    </row>
    <row r="21" spans="1:15" s="105" customFormat="1" ht="15.75" x14ac:dyDescent="0.25">
      <c r="A21" s="82" t="s">
        <v>200</v>
      </c>
      <c r="B21" s="107" t="s">
        <v>197</v>
      </c>
      <c r="C21" s="107" t="s">
        <v>207</v>
      </c>
      <c r="D21" s="107" t="s">
        <v>201</v>
      </c>
      <c r="E21" s="107"/>
      <c r="F21" s="108">
        <f t="shared" si="1"/>
        <v>4178564.08</v>
      </c>
      <c r="G21" s="108">
        <f t="shared" si="1"/>
        <v>4296164.08</v>
      </c>
      <c r="H21" s="108">
        <f t="shared" si="1"/>
        <v>4296164.08</v>
      </c>
      <c r="I21" s="106"/>
      <c r="J21" s="106"/>
      <c r="K21" s="106"/>
      <c r="L21" s="106"/>
      <c r="M21" s="106"/>
      <c r="N21" s="106"/>
      <c r="O21" s="106"/>
    </row>
    <row r="22" spans="1:15" ht="30" x14ac:dyDescent="0.2">
      <c r="A22" s="72" t="s">
        <v>202</v>
      </c>
      <c r="B22" s="109" t="s">
        <v>197</v>
      </c>
      <c r="C22" s="109" t="s">
        <v>207</v>
      </c>
      <c r="D22" s="109" t="s">
        <v>203</v>
      </c>
      <c r="E22" s="109"/>
      <c r="F22" s="110">
        <f t="shared" si="1"/>
        <v>4178564.08</v>
      </c>
      <c r="G22" s="110">
        <f t="shared" si="1"/>
        <v>4296164.08</v>
      </c>
      <c r="H22" s="110">
        <f t="shared" si="1"/>
        <v>4296164.08</v>
      </c>
    </row>
    <row r="23" spans="1:15" ht="30" x14ac:dyDescent="0.2">
      <c r="A23" s="70" t="s">
        <v>208</v>
      </c>
      <c r="B23" s="109" t="s">
        <v>197</v>
      </c>
      <c r="C23" s="109" t="s">
        <v>207</v>
      </c>
      <c r="D23" s="109" t="s">
        <v>209</v>
      </c>
      <c r="E23" s="109"/>
      <c r="F23" s="110">
        <f>F24+F25+F26</f>
        <v>4178564.08</v>
      </c>
      <c r="G23" s="110">
        <f>G24+G25+G26</f>
        <v>4296164.08</v>
      </c>
      <c r="H23" s="110">
        <f>H24+H25+H26</f>
        <v>4296164.08</v>
      </c>
    </row>
    <row r="24" spans="1:15" ht="75" x14ac:dyDescent="0.2">
      <c r="A24" s="72" t="s">
        <v>169</v>
      </c>
      <c r="B24" s="109" t="s">
        <v>197</v>
      </c>
      <c r="C24" s="109" t="s">
        <v>207</v>
      </c>
      <c r="D24" s="109" t="s">
        <v>209</v>
      </c>
      <c r="E24" s="109" t="s">
        <v>178</v>
      </c>
      <c r="F24" s="111">
        <v>614001.07999999996</v>
      </c>
      <c r="G24" s="111">
        <v>614001.07999999996</v>
      </c>
      <c r="H24" s="111">
        <v>614001.07999999996</v>
      </c>
    </row>
    <row r="25" spans="1:15" ht="30" x14ac:dyDescent="0.2">
      <c r="A25" s="72" t="s">
        <v>170</v>
      </c>
      <c r="B25" s="109" t="s">
        <v>197</v>
      </c>
      <c r="C25" s="109" t="s">
        <v>207</v>
      </c>
      <c r="D25" s="109" t="s">
        <v>209</v>
      </c>
      <c r="E25" s="109" t="s">
        <v>181</v>
      </c>
      <c r="F25" s="111">
        <v>3544563</v>
      </c>
      <c r="G25" s="111">
        <v>3662163</v>
      </c>
      <c r="H25" s="111">
        <v>3662163</v>
      </c>
    </row>
    <row r="26" spans="1:15" x14ac:dyDescent="0.2">
      <c r="A26" s="72" t="s">
        <v>172</v>
      </c>
      <c r="B26" s="109" t="s">
        <v>197</v>
      </c>
      <c r="C26" s="109" t="s">
        <v>207</v>
      </c>
      <c r="D26" s="109" t="s">
        <v>209</v>
      </c>
      <c r="E26" s="109" t="s">
        <v>179</v>
      </c>
      <c r="F26" s="110">
        <v>20000</v>
      </c>
      <c r="G26" s="110">
        <v>20000</v>
      </c>
      <c r="H26" s="110">
        <v>20000</v>
      </c>
    </row>
    <row r="27" spans="1:15" s="105" customFormat="1" ht="78.75" x14ac:dyDescent="0.25">
      <c r="A27" s="112" t="s">
        <v>210</v>
      </c>
      <c r="B27" s="107" t="s">
        <v>197</v>
      </c>
      <c r="C27" s="107" t="s">
        <v>211</v>
      </c>
      <c r="D27" s="107"/>
      <c r="E27" s="107"/>
      <c r="F27" s="108">
        <f t="shared" ref="F27:H29" si="2">F28</f>
        <v>68683279.25</v>
      </c>
      <c r="G27" s="108">
        <f t="shared" si="2"/>
        <v>67858276</v>
      </c>
      <c r="H27" s="108">
        <f t="shared" si="2"/>
        <v>67858276</v>
      </c>
      <c r="I27" s="106"/>
      <c r="J27" s="106"/>
      <c r="K27" s="106"/>
      <c r="L27" s="106"/>
      <c r="M27" s="106"/>
      <c r="N27" s="106"/>
      <c r="O27" s="106"/>
    </row>
    <row r="28" spans="1:15" s="105" customFormat="1" ht="15.75" x14ac:dyDescent="0.25">
      <c r="A28" s="82" t="s">
        <v>200</v>
      </c>
      <c r="B28" s="107" t="s">
        <v>197</v>
      </c>
      <c r="C28" s="107" t="s">
        <v>211</v>
      </c>
      <c r="D28" s="107" t="s">
        <v>201</v>
      </c>
      <c r="E28" s="107"/>
      <c r="F28" s="108">
        <f t="shared" si="2"/>
        <v>68683279.25</v>
      </c>
      <c r="G28" s="108">
        <f t="shared" si="2"/>
        <v>67858276</v>
      </c>
      <c r="H28" s="108">
        <f t="shared" si="2"/>
        <v>67858276</v>
      </c>
      <c r="I28" s="106"/>
      <c r="J28" s="106"/>
      <c r="K28" s="106"/>
      <c r="L28" s="106"/>
      <c r="M28" s="106"/>
      <c r="N28" s="106"/>
      <c r="O28" s="106"/>
    </row>
    <row r="29" spans="1:15" ht="30" x14ac:dyDescent="0.2">
      <c r="A29" s="72" t="s">
        <v>202</v>
      </c>
      <c r="B29" s="109" t="s">
        <v>197</v>
      </c>
      <c r="C29" s="109" t="s">
        <v>211</v>
      </c>
      <c r="D29" s="109" t="s">
        <v>203</v>
      </c>
      <c r="E29" s="109"/>
      <c r="F29" s="110">
        <f t="shared" si="2"/>
        <v>68683279.25</v>
      </c>
      <c r="G29" s="110">
        <f t="shared" si="2"/>
        <v>67858276</v>
      </c>
      <c r="H29" s="110">
        <f t="shared" si="2"/>
        <v>67858276</v>
      </c>
    </row>
    <row r="30" spans="1:15" ht="30" x14ac:dyDescent="0.2">
      <c r="A30" s="72" t="s">
        <v>212</v>
      </c>
      <c r="B30" s="109" t="s">
        <v>197</v>
      </c>
      <c r="C30" s="109" t="s">
        <v>211</v>
      </c>
      <c r="D30" s="109" t="s">
        <v>213</v>
      </c>
      <c r="E30" s="109"/>
      <c r="F30" s="110">
        <f>F31+F32+F33+F34</f>
        <v>68683279.25</v>
      </c>
      <c r="G30" s="110">
        <f>G31+G32+G33+G34</f>
        <v>67858276</v>
      </c>
      <c r="H30" s="110">
        <f>H31+H32+H33+H34</f>
        <v>67858276</v>
      </c>
    </row>
    <row r="31" spans="1:15" ht="75" x14ac:dyDescent="0.2">
      <c r="A31" s="72" t="s">
        <v>169</v>
      </c>
      <c r="B31" s="109" t="s">
        <v>197</v>
      </c>
      <c r="C31" s="109" t="s">
        <v>211</v>
      </c>
      <c r="D31" s="109" t="s">
        <v>213</v>
      </c>
      <c r="E31" s="109" t="s">
        <v>178</v>
      </c>
      <c r="F31" s="111">
        <f>63695249-50000</f>
        <v>63645249</v>
      </c>
      <c r="G31" s="111">
        <f>64457292-1465435</f>
        <v>62991857</v>
      </c>
      <c r="H31" s="111">
        <f>64457292-1465435</f>
        <v>62991857</v>
      </c>
    </row>
    <row r="32" spans="1:15" ht="30" x14ac:dyDescent="0.2">
      <c r="A32" s="72" t="s">
        <v>170</v>
      </c>
      <c r="B32" s="109" t="s">
        <v>197</v>
      </c>
      <c r="C32" s="109" t="s">
        <v>211</v>
      </c>
      <c r="D32" s="109" t="s">
        <v>213</v>
      </c>
      <c r="E32" s="109" t="s">
        <v>181</v>
      </c>
      <c r="F32" s="111">
        <f>4494367+85331.25+263000</f>
        <v>4842698.25</v>
      </c>
      <c r="G32" s="111">
        <v>4721087</v>
      </c>
      <c r="H32" s="111">
        <v>4721087</v>
      </c>
    </row>
    <row r="33" spans="1:15" ht="30" x14ac:dyDescent="0.2">
      <c r="A33" s="72" t="s">
        <v>171</v>
      </c>
      <c r="B33" s="109" t="s">
        <v>197</v>
      </c>
      <c r="C33" s="109" t="s">
        <v>211</v>
      </c>
      <c r="D33" s="109" t="s">
        <v>213</v>
      </c>
      <c r="E33" s="109" t="s">
        <v>183</v>
      </c>
      <c r="F33" s="111">
        <v>50000</v>
      </c>
      <c r="G33" s="111">
        <v>0</v>
      </c>
      <c r="H33" s="111">
        <v>0</v>
      </c>
    </row>
    <row r="34" spans="1:15" x14ac:dyDescent="0.2">
      <c r="A34" s="72" t="s">
        <v>172</v>
      </c>
      <c r="B34" s="109" t="s">
        <v>197</v>
      </c>
      <c r="C34" s="109" t="s">
        <v>211</v>
      </c>
      <c r="D34" s="109" t="s">
        <v>213</v>
      </c>
      <c r="E34" s="109" t="s">
        <v>179</v>
      </c>
      <c r="F34" s="111">
        <v>145332</v>
      </c>
      <c r="G34" s="111">
        <v>145332</v>
      </c>
      <c r="H34" s="111">
        <v>145332</v>
      </c>
    </row>
    <row r="35" spans="1:15" s="105" customFormat="1" ht="63" x14ac:dyDescent="0.25">
      <c r="A35" s="82" t="s">
        <v>214</v>
      </c>
      <c r="B35" s="107" t="s">
        <v>197</v>
      </c>
      <c r="C35" s="107" t="s">
        <v>215</v>
      </c>
      <c r="D35" s="107"/>
      <c r="E35" s="107"/>
      <c r="F35" s="108">
        <f>F36</f>
        <v>44333048.509999998</v>
      </c>
      <c r="G35" s="108">
        <f>G36</f>
        <v>43965194.469999999</v>
      </c>
      <c r="H35" s="108">
        <f>H36</f>
        <v>44046039.469999999</v>
      </c>
      <c r="I35" s="106"/>
      <c r="J35" s="106"/>
      <c r="K35" s="106"/>
      <c r="L35" s="106"/>
      <c r="M35" s="106"/>
      <c r="N35" s="106"/>
      <c r="O35" s="106"/>
    </row>
    <row r="36" spans="1:15" s="105" customFormat="1" ht="15.75" x14ac:dyDescent="0.25">
      <c r="A36" s="82" t="s">
        <v>200</v>
      </c>
      <c r="B36" s="107" t="s">
        <v>197</v>
      </c>
      <c r="C36" s="107" t="s">
        <v>215</v>
      </c>
      <c r="D36" s="107" t="s">
        <v>201</v>
      </c>
      <c r="E36" s="107"/>
      <c r="F36" s="108">
        <f>F37+F44</f>
        <v>44333048.509999998</v>
      </c>
      <c r="G36" s="108">
        <f>G37+G44</f>
        <v>43965194.469999999</v>
      </c>
      <c r="H36" s="108">
        <f>H37+H44</f>
        <v>44046039.469999999</v>
      </c>
      <c r="I36" s="106"/>
      <c r="J36" s="106"/>
      <c r="K36" s="106"/>
      <c r="L36" s="106"/>
      <c r="M36" s="106"/>
      <c r="N36" s="106"/>
      <c r="O36" s="106"/>
    </row>
    <row r="37" spans="1:15" ht="30" x14ac:dyDescent="0.2">
      <c r="A37" s="72" t="s">
        <v>202</v>
      </c>
      <c r="B37" s="109" t="s">
        <v>197</v>
      </c>
      <c r="C37" s="109" t="s">
        <v>215</v>
      </c>
      <c r="D37" s="109" t="s">
        <v>203</v>
      </c>
      <c r="E37" s="109"/>
      <c r="F37" s="110">
        <f>F38+F40</f>
        <v>12704797.51</v>
      </c>
      <c r="G37" s="110">
        <f>G38+G40</f>
        <v>12005943.469999999</v>
      </c>
      <c r="H37" s="110">
        <f>H38+H40</f>
        <v>12046788.469999999</v>
      </c>
    </row>
    <row r="38" spans="1:15" ht="30" x14ac:dyDescent="0.2">
      <c r="A38" s="72" t="s">
        <v>216</v>
      </c>
      <c r="B38" s="109" t="s">
        <v>197</v>
      </c>
      <c r="C38" s="109" t="s">
        <v>215</v>
      </c>
      <c r="D38" s="109" t="s">
        <v>217</v>
      </c>
      <c r="E38" s="109"/>
      <c r="F38" s="110">
        <f>F39</f>
        <v>4638034.04</v>
      </c>
      <c r="G38" s="110">
        <f>G39</f>
        <v>3818180</v>
      </c>
      <c r="H38" s="110">
        <f>H39</f>
        <v>3818180</v>
      </c>
    </row>
    <row r="39" spans="1:15" ht="75" x14ac:dyDescent="0.2">
      <c r="A39" s="72" t="s">
        <v>169</v>
      </c>
      <c r="B39" s="109" t="s">
        <v>197</v>
      </c>
      <c r="C39" s="109" t="s">
        <v>215</v>
      </c>
      <c r="D39" s="109" t="s">
        <v>217</v>
      </c>
      <c r="E39" s="109" t="s">
        <v>178</v>
      </c>
      <c r="F39" s="110">
        <f>3782180+855854.04</f>
        <v>4638034.04</v>
      </c>
      <c r="G39" s="110">
        <v>3818180</v>
      </c>
      <c r="H39" s="110">
        <v>3818180</v>
      </c>
    </row>
    <row r="40" spans="1:15" ht="30" x14ac:dyDescent="0.2">
      <c r="A40" s="72" t="s">
        <v>212</v>
      </c>
      <c r="B40" s="109" t="s">
        <v>197</v>
      </c>
      <c r="C40" s="109" t="s">
        <v>215</v>
      </c>
      <c r="D40" s="109" t="s">
        <v>213</v>
      </c>
      <c r="E40" s="109"/>
      <c r="F40" s="110">
        <f>F41+F42+F43</f>
        <v>8066763.4699999997</v>
      </c>
      <c r="G40" s="110">
        <f>G41+G42+G43</f>
        <v>8187763.4699999997</v>
      </c>
      <c r="H40" s="110">
        <f>H41+H42+H43</f>
        <v>8228608.4699999997</v>
      </c>
    </row>
    <row r="41" spans="1:15" ht="75" x14ac:dyDescent="0.2">
      <c r="A41" s="72" t="s">
        <v>169</v>
      </c>
      <c r="B41" s="109" t="s">
        <v>197</v>
      </c>
      <c r="C41" s="109" t="s">
        <v>215</v>
      </c>
      <c r="D41" s="109" t="s">
        <v>213</v>
      </c>
      <c r="E41" s="109" t="s">
        <v>178</v>
      </c>
      <c r="F41" s="111">
        <f>6739890.47</f>
        <v>6739890.4699999997</v>
      </c>
      <c r="G41" s="111">
        <v>6823890.4699999997</v>
      </c>
      <c r="H41" s="111">
        <v>6864735.4699999997</v>
      </c>
    </row>
    <row r="42" spans="1:15" ht="30" x14ac:dyDescent="0.2">
      <c r="A42" s="72" t="s">
        <v>170</v>
      </c>
      <c r="B42" s="109" t="s">
        <v>197</v>
      </c>
      <c r="C42" s="109" t="s">
        <v>215</v>
      </c>
      <c r="D42" s="109" t="s">
        <v>213</v>
      </c>
      <c r="E42" s="109" t="s">
        <v>181</v>
      </c>
      <c r="F42" s="111">
        <f>1326873</f>
        <v>1326873</v>
      </c>
      <c r="G42" s="111">
        <v>1363873</v>
      </c>
      <c r="H42" s="111">
        <v>1363873</v>
      </c>
    </row>
    <row r="43" spans="1:15" ht="30" hidden="1" x14ac:dyDescent="0.2">
      <c r="A43" s="72" t="s">
        <v>171</v>
      </c>
      <c r="B43" s="109" t="s">
        <v>197</v>
      </c>
      <c r="C43" s="109" t="s">
        <v>215</v>
      </c>
      <c r="D43" s="109" t="s">
        <v>213</v>
      </c>
      <c r="E43" s="109" t="s">
        <v>183</v>
      </c>
      <c r="F43" s="111">
        <v>0</v>
      </c>
      <c r="G43" s="111">
        <v>0</v>
      </c>
      <c r="H43" s="111">
        <v>0</v>
      </c>
    </row>
    <row r="44" spans="1:15" ht="30" x14ac:dyDescent="0.2">
      <c r="A44" s="72" t="s">
        <v>212</v>
      </c>
      <c r="B44" s="109" t="s">
        <v>197</v>
      </c>
      <c r="C44" s="109" t="s">
        <v>215</v>
      </c>
      <c r="D44" s="109" t="s">
        <v>213</v>
      </c>
      <c r="E44" s="109"/>
      <c r="F44" s="110">
        <f>F45+F46</f>
        <v>31628251</v>
      </c>
      <c r="G44" s="110">
        <f>G45+G46</f>
        <v>31959251</v>
      </c>
      <c r="H44" s="110">
        <f>H45+H46</f>
        <v>31999251</v>
      </c>
    </row>
    <row r="45" spans="1:15" ht="75" x14ac:dyDescent="0.2">
      <c r="A45" s="72" t="s">
        <v>169</v>
      </c>
      <c r="B45" s="109" t="s">
        <v>197</v>
      </c>
      <c r="C45" s="109" t="s">
        <v>215</v>
      </c>
      <c r="D45" s="109" t="s">
        <v>213</v>
      </c>
      <c r="E45" s="109" t="s">
        <v>178</v>
      </c>
      <c r="F45" s="110">
        <f>30031251</f>
        <v>30031251</v>
      </c>
      <c r="G45" s="110">
        <v>30271251</v>
      </c>
      <c r="H45" s="110">
        <v>30311251</v>
      </c>
    </row>
    <row r="46" spans="1:15" ht="30" x14ac:dyDescent="0.2">
      <c r="A46" s="72" t="s">
        <v>170</v>
      </c>
      <c r="B46" s="109" t="s">
        <v>197</v>
      </c>
      <c r="C46" s="109" t="s">
        <v>215</v>
      </c>
      <c r="D46" s="109" t="s">
        <v>213</v>
      </c>
      <c r="E46" s="109" t="s">
        <v>181</v>
      </c>
      <c r="F46" s="111">
        <f>1603000-6000</f>
        <v>1597000</v>
      </c>
      <c r="G46" s="111">
        <v>1688000</v>
      </c>
      <c r="H46" s="111">
        <v>1688000</v>
      </c>
    </row>
    <row r="47" spans="1:15" ht="31.5" x14ac:dyDescent="0.25">
      <c r="A47" s="82" t="s">
        <v>282</v>
      </c>
      <c r="B47" s="107" t="s">
        <v>197</v>
      </c>
      <c r="C47" s="107" t="s">
        <v>248</v>
      </c>
      <c r="D47" s="107"/>
      <c r="E47" s="107"/>
      <c r="F47" s="113">
        <f>F48</f>
        <v>13979702</v>
      </c>
      <c r="G47" s="113">
        <f t="shared" ref="G47:H50" si="3">G48</f>
        <v>0</v>
      </c>
      <c r="H47" s="113">
        <f t="shared" si="3"/>
        <v>0</v>
      </c>
    </row>
    <row r="48" spans="1:15" ht="15.75" x14ac:dyDescent="0.25">
      <c r="A48" s="82" t="s">
        <v>200</v>
      </c>
      <c r="B48" s="107" t="s">
        <v>197</v>
      </c>
      <c r="C48" s="107" t="s">
        <v>248</v>
      </c>
      <c r="D48" s="107" t="s">
        <v>201</v>
      </c>
      <c r="E48" s="107"/>
      <c r="F48" s="113">
        <f>F49</f>
        <v>13979702</v>
      </c>
      <c r="G48" s="113">
        <f t="shared" si="3"/>
        <v>0</v>
      </c>
      <c r="H48" s="113">
        <f t="shared" si="3"/>
        <v>0</v>
      </c>
    </row>
    <row r="49" spans="1:24" x14ac:dyDescent="0.2">
      <c r="A49" s="72" t="s">
        <v>281</v>
      </c>
      <c r="B49" s="109" t="s">
        <v>197</v>
      </c>
      <c r="C49" s="109" t="s">
        <v>248</v>
      </c>
      <c r="D49" s="109" t="s">
        <v>280</v>
      </c>
      <c r="E49" s="109"/>
      <c r="F49" s="111">
        <f>F50+F52</f>
        <v>13979702</v>
      </c>
      <c r="G49" s="111">
        <f t="shared" si="3"/>
        <v>0</v>
      </c>
      <c r="H49" s="111">
        <f t="shared" si="3"/>
        <v>0</v>
      </c>
    </row>
    <row r="50" spans="1:24" x14ac:dyDescent="0.2">
      <c r="A50" s="72" t="s">
        <v>511</v>
      </c>
      <c r="B50" s="109" t="s">
        <v>197</v>
      </c>
      <c r="C50" s="109" t="s">
        <v>248</v>
      </c>
      <c r="D50" s="109" t="s">
        <v>510</v>
      </c>
      <c r="E50" s="109"/>
      <c r="F50" s="111">
        <f>F51</f>
        <v>7089936</v>
      </c>
      <c r="G50" s="111">
        <f t="shared" si="3"/>
        <v>0</v>
      </c>
      <c r="H50" s="111">
        <f t="shared" si="3"/>
        <v>0</v>
      </c>
    </row>
    <row r="51" spans="1:24" x14ac:dyDescent="0.2">
      <c r="A51" s="72" t="s">
        <v>172</v>
      </c>
      <c r="B51" s="109" t="s">
        <v>197</v>
      </c>
      <c r="C51" s="109" t="s">
        <v>248</v>
      </c>
      <c r="D51" s="109" t="s">
        <v>510</v>
      </c>
      <c r="E51" s="109" t="s">
        <v>179</v>
      </c>
      <c r="F51" s="111">
        <v>7089936</v>
      </c>
      <c r="G51" s="111">
        <v>0</v>
      </c>
      <c r="H51" s="111">
        <v>0</v>
      </c>
    </row>
    <row r="52" spans="1:24" x14ac:dyDescent="0.2">
      <c r="A52" s="72" t="s">
        <v>694</v>
      </c>
      <c r="B52" s="109" t="s">
        <v>197</v>
      </c>
      <c r="C52" s="109" t="s">
        <v>248</v>
      </c>
      <c r="D52" s="109" t="s">
        <v>693</v>
      </c>
      <c r="E52" s="109"/>
      <c r="F52" s="111">
        <f>F53</f>
        <v>6889766</v>
      </c>
      <c r="G52" s="111">
        <f>G53</f>
        <v>0</v>
      </c>
      <c r="H52" s="111">
        <f>H53</f>
        <v>0</v>
      </c>
    </row>
    <row r="53" spans="1:24" x14ac:dyDescent="0.2">
      <c r="A53" s="72" t="s">
        <v>172</v>
      </c>
      <c r="B53" s="109" t="s">
        <v>197</v>
      </c>
      <c r="C53" s="109" t="s">
        <v>248</v>
      </c>
      <c r="D53" s="109" t="s">
        <v>693</v>
      </c>
      <c r="E53" s="109" t="s">
        <v>179</v>
      </c>
      <c r="F53" s="111">
        <v>6889766</v>
      </c>
      <c r="G53" s="111">
        <v>0</v>
      </c>
      <c r="H53" s="111">
        <v>0</v>
      </c>
    </row>
    <row r="54" spans="1:24" s="105" customFormat="1" ht="15.75" x14ac:dyDescent="0.25">
      <c r="A54" s="82" t="s">
        <v>218</v>
      </c>
      <c r="B54" s="107" t="s">
        <v>197</v>
      </c>
      <c r="C54" s="107" t="s">
        <v>219</v>
      </c>
      <c r="D54" s="107"/>
      <c r="E54" s="107"/>
      <c r="F54" s="108">
        <f t="shared" ref="F54:H57" si="4">F55</f>
        <v>17294109.389999997</v>
      </c>
      <c r="G54" s="108">
        <f t="shared" si="4"/>
        <v>70000000</v>
      </c>
      <c r="H54" s="108">
        <f t="shared" si="4"/>
        <v>70000000</v>
      </c>
      <c r="I54" s="106"/>
      <c r="J54" s="106"/>
      <c r="K54" s="106"/>
      <c r="L54" s="106"/>
      <c r="M54" s="106"/>
      <c r="N54" s="106"/>
      <c r="O54" s="106"/>
    </row>
    <row r="55" spans="1:24" s="105" customFormat="1" ht="15.75" x14ac:dyDescent="0.25">
      <c r="A55" s="82" t="s">
        <v>200</v>
      </c>
      <c r="B55" s="107" t="s">
        <v>197</v>
      </c>
      <c r="C55" s="107" t="s">
        <v>219</v>
      </c>
      <c r="D55" s="107" t="s">
        <v>201</v>
      </c>
      <c r="E55" s="107"/>
      <c r="F55" s="108">
        <f t="shared" si="4"/>
        <v>17294109.389999997</v>
      </c>
      <c r="G55" s="108">
        <f t="shared" si="4"/>
        <v>70000000</v>
      </c>
      <c r="H55" s="108">
        <f t="shared" si="4"/>
        <v>70000000</v>
      </c>
      <c r="I55" s="106"/>
      <c r="J55" s="106"/>
      <c r="K55" s="106"/>
      <c r="L55" s="106"/>
      <c r="M55" s="106"/>
      <c r="N55" s="106"/>
      <c r="O55" s="106"/>
    </row>
    <row r="56" spans="1:24" x14ac:dyDescent="0.2">
      <c r="A56" s="72" t="s">
        <v>220</v>
      </c>
      <c r="B56" s="109" t="s">
        <v>197</v>
      </c>
      <c r="C56" s="109" t="s">
        <v>219</v>
      </c>
      <c r="D56" s="109" t="s">
        <v>221</v>
      </c>
      <c r="E56" s="109"/>
      <c r="F56" s="110">
        <f t="shared" si="4"/>
        <v>17294109.389999997</v>
      </c>
      <c r="G56" s="110">
        <f t="shared" si="4"/>
        <v>70000000</v>
      </c>
      <c r="H56" s="110">
        <f t="shared" si="4"/>
        <v>70000000</v>
      </c>
    </row>
    <row r="57" spans="1:24" x14ac:dyDescent="0.2">
      <c r="A57" s="72" t="s">
        <v>222</v>
      </c>
      <c r="B57" s="109" t="s">
        <v>197</v>
      </c>
      <c r="C57" s="109" t="s">
        <v>219</v>
      </c>
      <c r="D57" s="109" t="s">
        <v>223</v>
      </c>
      <c r="E57" s="109"/>
      <c r="F57" s="110">
        <f t="shared" si="4"/>
        <v>17294109.389999997</v>
      </c>
      <c r="G57" s="110">
        <f t="shared" si="4"/>
        <v>70000000</v>
      </c>
      <c r="H57" s="110">
        <f t="shared" si="4"/>
        <v>70000000</v>
      </c>
    </row>
    <row r="58" spans="1:24" ht="15.75" x14ac:dyDescent="0.25">
      <c r="A58" s="72" t="s">
        <v>172</v>
      </c>
      <c r="B58" s="109" t="s">
        <v>197</v>
      </c>
      <c r="C58" s="109" t="s">
        <v>219</v>
      </c>
      <c r="D58" s="109" t="s">
        <v>223</v>
      </c>
      <c r="E58" s="109" t="s">
        <v>179</v>
      </c>
      <c r="F58" s="111">
        <f>70000000-7444830-100000-370000+100000+370000-580000+580000-1193369.77+1193369.77-50000-686700-7359680-3564000-5003630.46-9311815-536817.01+536817.01-185000+185000-150000-486000+486000-2334150-7942000+4951404-83933.37+83933.37-478374.44+478374.44-1132644.91+1132644.91-6017160.24-1014786.42-83380-22526.54-3000000-4504374.95-68261-7522532.22-189560-260000-869500-100000+1000000+189560+260000+869500-352600+352600+7522532.22</f>
        <v>17294109.389999997</v>
      </c>
      <c r="G58" s="111">
        <v>70000000</v>
      </c>
      <c r="H58" s="111">
        <v>70000000</v>
      </c>
      <c r="I58" s="366"/>
      <c r="J58" s="365"/>
      <c r="K58" s="365"/>
      <c r="L58" s="365"/>
      <c r="M58" s="365"/>
      <c r="N58" s="365"/>
      <c r="O58" s="365"/>
      <c r="P58" s="367"/>
      <c r="Q58" s="367"/>
      <c r="R58" s="367"/>
      <c r="S58" s="367"/>
      <c r="T58" s="367"/>
      <c r="U58" s="367"/>
      <c r="V58" s="367"/>
      <c r="W58" s="367"/>
      <c r="X58" s="367"/>
    </row>
    <row r="59" spans="1:24" s="105" customFormat="1" ht="15.75" x14ac:dyDescent="0.25">
      <c r="A59" s="82" t="s">
        <v>224</v>
      </c>
      <c r="B59" s="107" t="s">
        <v>197</v>
      </c>
      <c r="C59" s="107" t="s">
        <v>225</v>
      </c>
      <c r="D59" s="107"/>
      <c r="E59" s="107"/>
      <c r="F59" s="108">
        <f>F60</f>
        <v>653502847.87</v>
      </c>
      <c r="G59" s="108">
        <f>G60</f>
        <v>476371219.12</v>
      </c>
      <c r="H59" s="108">
        <f>H60</f>
        <v>526373299.12</v>
      </c>
      <c r="I59" s="106"/>
      <c r="J59" s="106"/>
      <c r="K59" s="106"/>
      <c r="L59" s="106"/>
      <c r="M59" s="106"/>
      <c r="N59" s="106"/>
      <c r="O59" s="106"/>
    </row>
    <row r="60" spans="1:24" s="105" customFormat="1" ht="15.75" x14ac:dyDescent="0.25">
      <c r="A60" s="82" t="s">
        <v>200</v>
      </c>
      <c r="B60" s="107" t="s">
        <v>197</v>
      </c>
      <c r="C60" s="107" t="s">
        <v>225</v>
      </c>
      <c r="D60" s="103">
        <v>9900000000</v>
      </c>
      <c r="E60" s="107"/>
      <c r="F60" s="108">
        <f>F61+F84</f>
        <v>653502847.87</v>
      </c>
      <c r="G60" s="108">
        <f>G61+G84</f>
        <v>476371219.12</v>
      </c>
      <c r="H60" s="108">
        <f>H61+H84</f>
        <v>526373299.12</v>
      </c>
      <c r="I60" s="106"/>
      <c r="J60" s="106"/>
      <c r="K60" s="106"/>
      <c r="L60" s="106"/>
      <c r="M60" s="106"/>
      <c r="N60" s="106"/>
      <c r="O60" s="106"/>
    </row>
    <row r="61" spans="1:24" ht="30" x14ac:dyDescent="0.2">
      <c r="A61" s="72" t="s">
        <v>202</v>
      </c>
      <c r="B61" s="109" t="s">
        <v>197</v>
      </c>
      <c r="C61" s="109" t="s">
        <v>225</v>
      </c>
      <c r="D61" s="100">
        <v>9910000000</v>
      </c>
      <c r="E61" s="109"/>
      <c r="F61" s="110">
        <f>F62+F64+F67+F70+F72+F76+F80</f>
        <v>533488634.68999994</v>
      </c>
      <c r="G61" s="110">
        <f>G62+G64+G67+G70+G72+G76+G80</f>
        <v>471754839.12</v>
      </c>
      <c r="H61" s="110">
        <f>H62+H64+H67+H70+H72+H76+H80</f>
        <v>471756919.12</v>
      </c>
    </row>
    <row r="62" spans="1:24" ht="30" x14ac:dyDescent="0.2">
      <c r="A62" s="70" t="s">
        <v>212</v>
      </c>
      <c r="B62" s="109" t="s">
        <v>197</v>
      </c>
      <c r="C62" s="109" t="s">
        <v>225</v>
      </c>
      <c r="D62" s="100">
        <v>9910011410</v>
      </c>
      <c r="E62" s="109"/>
      <c r="F62" s="110">
        <f>F63</f>
        <v>1354200</v>
      </c>
      <c r="G62" s="110">
        <f>G63</f>
        <v>1354200</v>
      </c>
      <c r="H62" s="110">
        <f>H63</f>
        <v>1354200</v>
      </c>
    </row>
    <row r="63" spans="1:24" ht="75" x14ac:dyDescent="0.2">
      <c r="A63" s="70" t="s">
        <v>169</v>
      </c>
      <c r="B63" s="109" t="s">
        <v>197</v>
      </c>
      <c r="C63" s="109" t="s">
        <v>225</v>
      </c>
      <c r="D63" s="100">
        <v>9910011410</v>
      </c>
      <c r="E63" s="109" t="s">
        <v>178</v>
      </c>
      <c r="F63" s="110">
        <f>1354200</f>
        <v>1354200</v>
      </c>
      <c r="G63" s="110">
        <v>1354200</v>
      </c>
      <c r="H63" s="110">
        <v>1354200</v>
      </c>
    </row>
    <row r="64" spans="1:24" ht="30" x14ac:dyDescent="0.2">
      <c r="A64" s="70" t="s">
        <v>226</v>
      </c>
      <c r="B64" s="109" t="s">
        <v>197</v>
      </c>
      <c r="C64" s="109" t="s">
        <v>225</v>
      </c>
      <c r="D64" s="100">
        <v>9910022001</v>
      </c>
      <c r="E64" s="109"/>
      <c r="F64" s="110">
        <f>SUM(F65:F66)</f>
        <v>2553775</v>
      </c>
      <c r="G64" s="110">
        <f>SUM(G65:G66)</f>
        <v>2572775</v>
      </c>
      <c r="H64" s="110">
        <f>SUM(H65:H66)</f>
        <v>2572775</v>
      </c>
    </row>
    <row r="65" spans="1:8" ht="75" x14ac:dyDescent="0.2">
      <c r="A65" s="70" t="s">
        <v>169</v>
      </c>
      <c r="B65" s="109" t="s">
        <v>197</v>
      </c>
      <c r="C65" s="109" t="s">
        <v>225</v>
      </c>
      <c r="D65" s="100">
        <v>9910022001</v>
      </c>
      <c r="E65" s="109" t="s">
        <v>178</v>
      </c>
      <c r="F65" s="110">
        <f>2547775</f>
        <v>2547775</v>
      </c>
      <c r="G65" s="110">
        <v>2572775</v>
      </c>
      <c r="H65" s="110">
        <v>2572775</v>
      </c>
    </row>
    <row r="66" spans="1:8" ht="30" x14ac:dyDescent="0.2">
      <c r="A66" s="72" t="s">
        <v>170</v>
      </c>
      <c r="B66" s="109" t="s">
        <v>197</v>
      </c>
      <c r="C66" s="109" t="s">
        <v>225</v>
      </c>
      <c r="D66" s="100">
        <v>9910022001</v>
      </c>
      <c r="E66" s="109" t="s">
        <v>181</v>
      </c>
      <c r="F66" s="110">
        <v>6000</v>
      </c>
      <c r="G66" s="110">
        <v>0</v>
      </c>
      <c r="H66" s="110">
        <v>0</v>
      </c>
    </row>
    <row r="67" spans="1:8" ht="30" x14ac:dyDescent="0.2">
      <c r="A67" s="70" t="s">
        <v>226</v>
      </c>
      <c r="B67" s="109" t="s">
        <v>197</v>
      </c>
      <c r="C67" s="109" t="s">
        <v>225</v>
      </c>
      <c r="D67" s="100">
        <v>9910022001</v>
      </c>
      <c r="E67" s="109"/>
      <c r="F67" s="110">
        <f>F68+F69</f>
        <v>5333535.79</v>
      </c>
      <c r="G67" s="110">
        <f>G68+G69</f>
        <v>5329293.79</v>
      </c>
      <c r="H67" s="110">
        <f>H68+H69</f>
        <v>5329293.79</v>
      </c>
    </row>
    <row r="68" spans="1:8" ht="75" x14ac:dyDescent="0.2">
      <c r="A68" s="72" t="s">
        <v>169</v>
      </c>
      <c r="B68" s="109" t="s">
        <v>197</v>
      </c>
      <c r="C68" s="109" t="s">
        <v>225</v>
      </c>
      <c r="D68" s="100">
        <v>9910022001</v>
      </c>
      <c r="E68" s="109" t="s">
        <v>178</v>
      </c>
      <c r="F68" s="111">
        <v>4445776.38</v>
      </c>
      <c r="G68" s="111">
        <v>4441534.38</v>
      </c>
      <c r="H68" s="111">
        <v>4441534.38</v>
      </c>
    </row>
    <row r="69" spans="1:8" ht="30" x14ac:dyDescent="0.2">
      <c r="A69" s="72" t="s">
        <v>170</v>
      </c>
      <c r="B69" s="109" t="s">
        <v>197</v>
      </c>
      <c r="C69" s="109" t="s">
        <v>225</v>
      </c>
      <c r="D69" s="100">
        <v>9910022001</v>
      </c>
      <c r="E69" s="109" t="s">
        <v>181</v>
      </c>
      <c r="F69" s="111">
        <v>887759.41</v>
      </c>
      <c r="G69" s="111">
        <v>887759.41</v>
      </c>
      <c r="H69" s="111">
        <v>887759.41</v>
      </c>
    </row>
    <row r="70" spans="1:8" ht="30" x14ac:dyDescent="0.2">
      <c r="A70" s="70" t="s">
        <v>226</v>
      </c>
      <c r="B70" s="109" t="s">
        <v>197</v>
      </c>
      <c r="C70" s="109" t="s">
        <v>225</v>
      </c>
      <c r="D70" s="100">
        <v>9910022001</v>
      </c>
      <c r="E70" s="109"/>
      <c r="F70" s="110">
        <f>SUM(F71:F71)</f>
        <v>377714493.77999997</v>
      </c>
      <c r="G70" s="110">
        <f>SUM(G71:G71)</f>
        <v>314712757.61000001</v>
      </c>
      <c r="H70" s="110">
        <f>SUM(H71:H71)</f>
        <v>314712757.61000001</v>
      </c>
    </row>
    <row r="71" spans="1:8" ht="45" x14ac:dyDescent="0.2">
      <c r="A71" s="70" t="s">
        <v>173</v>
      </c>
      <c r="B71" s="109" t="s">
        <v>197</v>
      </c>
      <c r="C71" s="109" t="s">
        <v>225</v>
      </c>
      <c r="D71" s="100">
        <v>9910022001</v>
      </c>
      <c r="E71" s="109" t="s">
        <v>227</v>
      </c>
      <c r="F71" s="271">
        <f>311886937.61+545700+31006806.76+2069750+4023811.33+15983333.33+93333.33-1546786.4+13651607.82</f>
        <v>377714493.77999997</v>
      </c>
      <c r="G71" s="271">
        <v>314712757.61000001</v>
      </c>
      <c r="H71" s="271">
        <v>314712757.61000001</v>
      </c>
    </row>
    <row r="72" spans="1:8" ht="30" x14ac:dyDescent="0.2">
      <c r="A72" s="70" t="s">
        <v>226</v>
      </c>
      <c r="B72" s="109" t="s">
        <v>197</v>
      </c>
      <c r="C72" s="109" t="s">
        <v>225</v>
      </c>
      <c r="D72" s="100">
        <v>9910022001</v>
      </c>
      <c r="E72" s="109"/>
      <c r="F72" s="110">
        <f>SUM(F73:F75)</f>
        <v>47236237.5</v>
      </c>
      <c r="G72" s="110">
        <f>SUM(G73:G75)</f>
        <v>47526432</v>
      </c>
      <c r="H72" s="110">
        <f>SUM(H73:H75)</f>
        <v>47526432</v>
      </c>
    </row>
    <row r="73" spans="1:8" ht="75" x14ac:dyDescent="0.2">
      <c r="A73" s="72" t="s">
        <v>169</v>
      </c>
      <c r="B73" s="109" t="s">
        <v>197</v>
      </c>
      <c r="C73" s="109" t="s">
        <v>225</v>
      </c>
      <c r="D73" s="100">
        <v>9910022001</v>
      </c>
      <c r="E73" s="109" t="s">
        <v>178</v>
      </c>
      <c r="F73" s="110">
        <f>44898405</f>
        <v>44898405</v>
      </c>
      <c r="G73" s="110">
        <v>45332412</v>
      </c>
      <c r="H73" s="110">
        <v>45332412</v>
      </c>
    </row>
    <row r="74" spans="1:8" ht="30" x14ac:dyDescent="0.2">
      <c r="A74" s="72" t="s">
        <v>170</v>
      </c>
      <c r="B74" s="109" t="s">
        <v>197</v>
      </c>
      <c r="C74" s="109" t="s">
        <v>225</v>
      </c>
      <c r="D74" s="100">
        <v>9910022001</v>
      </c>
      <c r="E74" s="109" t="s">
        <v>181</v>
      </c>
      <c r="F74" s="111">
        <f>2028370+37462.5+272000</f>
        <v>2337832.5</v>
      </c>
      <c r="G74" s="111">
        <v>2194020</v>
      </c>
      <c r="H74" s="111">
        <v>2194020</v>
      </c>
    </row>
    <row r="75" spans="1:8" hidden="1" x14ac:dyDescent="0.2">
      <c r="A75" s="72" t="s">
        <v>172</v>
      </c>
      <c r="B75" s="109" t="s">
        <v>197</v>
      </c>
      <c r="C75" s="109" t="s">
        <v>225</v>
      </c>
      <c r="D75" s="100">
        <v>9910022001</v>
      </c>
      <c r="E75" s="109" t="s">
        <v>183</v>
      </c>
      <c r="F75" s="111"/>
      <c r="G75" s="111">
        <v>0</v>
      </c>
      <c r="H75" s="111">
        <v>0</v>
      </c>
    </row>
    <row r="76" spans="1:8" ht="30" x14ac:dyDescent="0.2">
      <c r="A76" s="72" t="s">
        <v>202</v>
      </c>
      <c r="B76" s="109" t="s">
        <v>197</v>
      </c>
      <c r="C76" s="109" t="s">
        <v>225</v>
      </c>
      <c r="D76" s="100">
        <v>9910000000</v>
      </c>
      <c r="E76" s="100"/>
      <c r="F76" s="111">
        <f>F77+F78+F79</f>
        <v>12005155.969999999</v>
      </c>
      <c r="G76" s="111">
        <f>G77+G78+G79</f>
        <v>12504255.969999999</v>
      </c>
      <c r="H76" s="111">
        <f>H77+H78+H79</f>
        <v>12506335.969999999</v>
      </c>
    </row>
    <row r="77" spans="1:8" ht="75" x14ac:dyDescent="0.2">
      <c r="A77" s="72" t="s">
        <v>169</v>
      </c>
      <c r="B77" s="109" t="s">
        <v>197</v>
      </c>
      <c r="C77" s="109" t="s">
        <v>225</v>
      </c>
      <c r="D77" s="100">
        <v>9910022001</v>
      </c>
      <c r="E77" s="100">
        <v>100</v>
      </c>
      <c r="F77" s="111">
        <v>6767927</v>
      </c>
      <c r="G77" s="111">
        <v>6837027</v>
      </c>
      <c r="H77" s="111">
        <v>6839107</v>
      </c>
    </row>
    <row r="78" spans="1:8" ht="30" x14ac:dyDescent="0.2">
      <c r="A78" s="72" t="s">
        <v>170</v>
      </c>
      <c r="B78" s="109" t="s">
        <v>197</v>
      </c>
      <c r="C78" s="109" t="s">
        <v>225</v>
      </c>
      <c r="D78" s="100">
        <v>9910022001</v>
      </c>
      <c r="E78" s="100">
        <v>200</v>
      </c>
      <c r="F78" s="111">
        <f>4599558.97-400000</f>
        <v>4199558.97</v>
      </c>
      <c r="G78" s="111">
        <v>4629558.97</v>
      </c>
      <c r="H78" s="111">
        <v>4629558.97</v>
      </c>
    </row>
    <row r="79" spans="1:8" x14ac:dyDescent="0.2">
      <c r="A79" s="70" t="s">
        <v>172</v>
      </c>
      <c r="B79" s="109" t="s">
        <v>197</v>
      </c>
      <c r="C79" s="109" t="s">
        <v>225</v>
      </c>
      <c r="D79" s="100">
        <v>9910022001</v>
      </c>
      <c r="E79" s="100">
        <v>800</v>
      </c>
      <c r="F79" s="111">
        <v>1037670</v>
      </c>
      <c r="G79" s="111">
        <v>1037670</v>
      </c>
      <c r="H79" s="111">
        <v>1037670</v>
      </c>
    </row>
    <row r="80" spans="1:8" ht="30" x14ac:dyDescent="0.2">
      <c r="A80" s="72" t="s">
        <v>202</v>
      </c>
      <c r="B80" s="109" t="s">
        <v>197</v>
      </c>
      <c r="C80" s="109" t="s">
        <v>225</v>
      </c>
      <c r="D80" s="100">
        <v>9910000000</v>
      </c>
      <c r="E80" s="100"/>
      <c r="F80" s="111">
        <f>SUM(F81:F83)</f>
        <v>87291236.650000006</v>
      </c>
      <c r="G80" s="111">
        <f>SUM(G81:G83)</f>
        <v>87755124.75</v>
      </c>
      <c r="H80" s="111">
        <f>SUM(H81:H83)</f>
        <v>87755124.75</v>
      </c>
    </row>
    <row r="81" spans="1:8" ht="75" x14ac:dyDescent="0.2">
      <c r="A81" s="72" t="s">
        <v>169</v>
      </c>
      <c r="B81" s="109" t="s">
        <v>197</v>
      </c>
      <c r="C81" s="109" t="s">
        <v>225</v>
      </c>
      <c r="D81" s="100">
        <v>9910022001</v>
      </c>
      <c r="E81" s="100">
        <v>100</v>
      </c>
      <c r="F81" s="111">
        <f>78218574.75-863.52-10000+1354971.9</f>
        <v>79562683.13000001</v>
      </c>
      <c r="G81" s="111">
        <v>79363434.75</v>
      </c>
      <c r="H81" s="111">
        <v>79363434.75</v>
      </c>
    </row>
    <row r="82" spans="1:8" ht="30" x14ac:dyDescent="0.2">
      <c r="A82" s="72" t="s">
        <v>170</v>
      </c>
      <c r="B82" s="109" t="s">
        <v>197</v>
      </c>
      <c r="C82" s="109" t="s">
        <v>225</v>
      </c>
      <c r="D82" s="100">
        <v>9910022001</v>
      </c>
      <c r="E82" s="100">
        <v>200</v>
      </c>
      <c r="F82" s="111">
        <f>7421690+296000</f>
        <v>7717690</v>
      </c>
      <c r="G82" s="111">
        <v>8391690</v>
      </c>
      <c r="H82" s="111">
        <v>8391690</v>
      </c>
    </row>
    <row r="83" spans="1:8" ht="30" x14ac:dyDescent="0.2">
      <c r="A83" s="72" t="s">
        <v>171</v>
      </c>
      <c r="B83" s="109" t="s">
        <v>197</v>
      </c>
      <c r="C83" s="109" t="s">
        <v>225</v>
      </c>
      <c r="D83" s="100">
        <v>9910022001</v>
      </c>
      <c r="E83" s="100">
        <v>300</v>
      </c>
      <c r="F83" s="111">
        <f>863.52+10000</f>
        <v>10863.52</v>
      </c>
      <c r="G83" s="111">
        <v>0</v>
      </c>
      <c r="H83" s="111">
        <v>0</v>
      </c>
    </row>
    <row r="84" spans="1:8" x14ac:dyDescent="0.2">
      <c r="A84" s="72" t="s">
        <v>220</v>
      </c>
      <c r="B84" s="109" t="s">
        <v>197</v>
      </c>
      <c r="C84" s="109" t="s">
        <v>225</v>
      </c>
      <c r="D84" s="109" t="s">
        <v>221</v>
      </c>
      <c r="E84" s="109"/>
      <c r="F84" s="110">
        <f>F88+F96+F94+F98+F100+F102+F104+F85</f>
        <v>120014213.18000002</v>
      </c>
      <c r="G84" s="110">
        <f t="shared" ref="G84:H84" si="5">G88+G96+G94+G98+G100+G102+G104+G85</f>
        <v>4616380</v>
      </c>
      <c r="H84" s="110">
        <f t="shared" si="5"/>
        <v>54616380</v>
      </c>
    </row>
    <row r="85" spans="1:8" x14ac:dyDescent="0.2">
      <c r="A85" s="72"/>
      <c r="B85" s="109" t="s">
        <v>197</v>
      </c>
      <c r="C85" s="109" t="s">
        <v>225</v>
      </c>
      <c r="D85" s="109" t="s">
        <v>695</v>
      </c>
      <c r="E85" s="109"/>
      <c r="F85" s="110">
        <f>SUM(F86:F87)</f>
        <v>17209893.16</v>
      </c>
      <c r="G85" s="110">
        <f t="shared" ref="G85:H85" si="6">SUM(G86:G87)</f>
        <v>0</v>
      </c>
      <c r="H85" s="110">
        <f t="shared" si="6"/>
        <v>0</v>
      </c>
    </row>
    <row r="86" spans="1:8" ht="30" x14ac:dyDescent="0.2">
      <c r="A86" s="72" t="s">
        <v>170</v>
      </c>
      <c r="B86" s="109" t="s">
        <v>197</v>
      </c>
      <c r="C86" s="109" t="s">
        <v>225</v>
      </c>
      <c r="D86" s="109" t="s">
        <v>695</v>
      </c>
      <c r="E86" s="109" t="s">
        <v>181</v>
      </c>
      <c r="F86" s="110">
        <v>17101386.16</v>
      </c>
      <c r="G86" s="110">
        <v>0</v>
      </c>
      <c r="H86" s="110">
        <v>0</v>
      </c>
    </row>
    <row r="87" spans="1:8" x14ac:dyDescent="0.2">
      <c r="A87" s="72" t="s">
        <v>172</v>
      </c>
      <c r="B87" s="109" t="s">
        <v>197</v>
      </c>
      <c r="C87" s="109" t="s">
        <v>225</v>
      </c>
      <c r="D87" s="109" t="s">
        <v>695</v>
      </c>
      <c r="E87" s="109" t="s">
        <v>179</v>
      </c>
      <c r="F87" s="110">
        <v>108507</v>
      </c>
      <c r="G87" s="110">
        <v>0</v>
      </c>
      <c r="H87" s="110">
        <v>0</v>
      </c>
    </row>
    <row r="88" spans="1:8" ht="30" x14ac:dyDescent="0.2">
      <c r="A88" s="72" t="s">
        <v>228</v>
      </c>
      <c r="B88" s="109" t="s">
        <v>197</v>
      </c>
      <c r="C88" s="109" t="s">
        <v>225</v>
      </c>
      <c r="D88" s="109" t="s">
        <v>229</v>
      </c>
      <c r="E88" s="109"/>
      <c r="F88" s="110">
        <f>SUM(F89:F93)</f>
        <v>65604181.45000001</v>
      </c>
      <c r="G88" s="110">
        <f>SUM(G89:G93)</f>
        <v>4386500</v>
      </c>
      <c r="H88" s="110">
        <f>SUM(H89:H93)</f>
        <v>4386500</v>
      </c>
    </row>
    <row r="89" spans="1:8" ht="75" x14ac:dyDescent="0.2">
      <c r="A89" s="72" t="s">
        <v>169</v>
      </c>
      <c r="B89" s="109" t="s">
        <v>197</v>
      </c>
      <c r="C89" s="109" t="s">
        <v>225</v>
      </c>
      <c r="D89" s="109" t="s">
        <v>229</v>
      </c>
      <c r="E89" s="109" t="s">
        <v>178</v>
      </c>
      <c r="F89" s="110">
        <f>83380+68261</f>
        <v>151641</v>
      </c>
      <c r="G89" s="110">
        <v>0</v>
      </c>
      <c r="H89" s="110">
        <v>0</v>
      </c>
    </row>
    <row r="90" spans="1:8" ht="30" x14ac:dyDescent="0.2">
      <c r="A90" s="72" t="s">
        <v>170</v>
      </c>
      <c r="B90" s="109" t="s">
        <v>197</v>
      </c>
      <c r="C90" s="109" t="s">
        <v>225</v>
      </c>
      <c r="D90" s="109" t="s">
        <v>229</v>
      </c>
      <c r="E90" s="109" t="s">
        <v>181</v>
      </c>
      <c r="F90" s="111">
        <f>1861127.67+313380+3075000+1906500+1332940-1861127.67+4367833+9908262.64+185000+780829.1+13512650.52+7522532.22+1125237.59+226646.57+194712.6</f>
        <v>44451524.24000001</v>
      </c>
      <c r="G90" s="111">
        <f>3075000+1311500</f>
        <v>4386500</v>
      </c>
      <c r="H90" s="111">
        <f>3075000+1311500</f>
        <v>4386500</v>
      </c>
    </row>
    <row r="91" spans="1:8" ht="30" x14ac:dyDescent="0.2">
      <c r="A91" s="72" t="s">
        <v>171</v>
      </c>
      <c r="B91" s="109" t="s">
        <v>197</v>
      </c>
      <c r="C91" s="109" t="s">
        <v>225</v>
      </c>
      <c r="D91" s="109" t="s">
        <v>229</v>
      </c>
      <c r="E91" s="109" t="s">
        <v>183</v>
      </c>
      <c r="F91" s="111">
        <f>1599868.5+439400</f>
        <v>2039268.5</v>
      </c>
      <c r="G91" s="111">
        <v>0</v>
      </c>
      <c r="H91" s="111">
        <v>0</v>
      </c>
    </row>
    <row r="92" spans="1:8" ht="45" x14ac:dyDescent="0.2">
      <c r="A92" s="70" t="s">
        <v>173</v>
      </c>
      <c r="B92" s="109" t="s">
        <v>197</v>
      </c>
      <c r="C92" s="109" t="s">
        <v>225</v>
      </c>
      <c r="D92" s="109" t="s">
        <v>229</v>
      </c>
      <c r="E92" s="109" t="s">
        <v>227</v>
      </c>
      <c r="F92" s="111">
        <f>694378+15014998.39-256478+1074450+1765987.57+449000-370766.66-437900+1028078.41</f>
        <v>18961747.710000001</v>
      </c>
      <c r="G92" s="111">
        <v>0</v>
      </c>
      <c r="H92" s="111">
        <v>0</v>
      </c>
    </row>
    <row r="93" spans="1:8" hidden="1" x14ac:dyDescent="0.2">
      <c r="A93" s="70" t="s">
        <v>172</v>
      </c>
      <c r="B93" s="109" t="s">
        <v>197</v>
      </c>
      <c r="C93" s="109" t="s">
        <v>225</v>
      </c>
      <c r="D93" s="109" t="s">
        <v>229</v>
      </c>
      <c r="E93" s="109" t="s">
        <v>179</v>
      </c>
      <c r="F93" s="111">
        <v>0</v>
      </c>
      <c r="G93" s="111">
        <v>0</v>
      </c>
      <c r="H93" s="111">
        <v>0</v>
      </c>
    </row>
    <row r="94" spans="1:8" ht="30" hidden="1" x14ac:dyDescent="0.2">
      <c r="A94" s="72" t="s">
        <v>228</v>
      </c>
      <c r="B94" s="109" t="s">
        <v>197</v>
      </c>
      <c r="C94" s="109" t="s">
        <v>225</v>
      </c>
      <c r="D94" s="109" t="s">
        <v>229</v>
      </c>
      <c r="E94" s="109"/>
      <c r="F94" s="111">
        <f>F95</f>
        <v>0</v>
      </c>
      <c r="G94" s="111">
        <f>G95</f>
        <v>0</v>
      </c>
      <c r="H94" s="111">
        <f>H95</f>
        <v>0</v>
      </c>
    </row>
    <row r="95" spans="1:8" ht="30" hidden="1" x14ac:dyDescent="0.2">
      <c r="A95" s="72" t="s">
        <v>170</v>
      </c>
      <c r="B95" s="109" t="s">
        <v>197</v>
      </c>
      <c r="C95" s="109" t="s">
        <v>225</v>
      </c>
      <c r="D95" s="109" t="s">
        <v>229</v>
      </c>
      <c r="E95" s="109" t="s">
        <v>181</v>
      </c>
      <c r="F95" s="111">
        <v>0</v>
      </c>
      <c r="G95" s="111">
        <v>0</v>
      </c>
      <c r="H95" s="111">
        <v>0</v>
      </c>
    </row>
    <row r="96" spans="1:8" ht="30" x14ac:dyDescent="0.2">
      <c r="A96" s="72" t="s">
        <v>428</v>
      </c>
      <c r="B96" s="109" t="s">
        <v>197</v>
      </c>
      <c r="C96" s="109" t="s">
        <v>225</v>
      </c>
      <c r="D96" s="109" t="s">
        <v>427</v>
      </c>
      <c r="E96" s="109"/>
      <c r="F96" s="110">
        <f>F97</f>
        <v>229880</v>
      </c>
      <c r="G96" s="110">
        <f>G97</f>
        <v>229880</v>
      </c>
      <c r="H96" s="110">
        <f>H97</f>
        <v>229880</v>
      </c>
    </row>
    <row r="97" spans="1:15" ht="30" x14ac:dyDescent="0.2">
      <c r="A97" s="72" t="s">
        <v>171</v>
      </c>
      <c r="B97" s="109" t="s">
        <v>197</v>
      </c>
      <c r="C97" s="109" t="s">
        <v>225</v>
      </c>
      <c r="D97" s="109" t="s">
        <v>427</v>
      </c>
      <c r="E97" s="109" t="s">
        <v>183</v>
      </c>
      <c r="F97" s="111">
        <v>229880</v>
      </c>
      <c r="G97" s="111">
        <v>229880</v>
      </c>
      <c r="H97" s="111">
        <v>229880</v>
      </c>
    </row>
    <row r="98" spans="1:15" ht="30" x14ac:dyDescent="0.2">
      <c r="A98" s="72" t="s">
        <v>228</v>
      </c>
      <c r="B98" s="109" t="s">
        <v>197</v>
      </c>
      <c r="C98" s="109" t="s">
        <v>225</v>
      </c>
      <c r="D98" s="109" t="s">
        <v>229</v>
      </c>
      <c r="E98" s="109"/>
      <c r="F98" s="111">
        <f>F99</f>
        <v>90585.240000014193</v>
      </c>
      <c r="G98" s="111">
        <f>G99</f>
        <v>0</v>
      </c>
      <c r="H98" s="111">
        <f>H99</f>
        <v>50000000</v>
      </c>
    </row>
    <row r="99" spans="1:15" x14ac:dyDescent="0.2">
      <c r="A99" s="70" t="s">
        <v>172</v>
      </c>
      <c r="B99" s="109" t="s">
        <v>197</v>
      </c>
      <c r="C99" s="109" t="s">
        <v>225</v>
      </c>
      <c r="D99" s="109" t="s">
        <v>229</v>
      </c>
      <c r="E99" s="109" t="s">
        <v>179</v>
      </c>
      <c r="F99" s="111">
        <f>50000000+100000000-138566490.73-3522931+35000000+21052125.66-58572883.66+2119935-7509735-13512650.52+56052125.66-16265630.9-1125237.59-16829224.22-4939443.58-2445503.17+5000000-2618774.6-3225096.11</f>
        <v>90585.240000014193</v>
      </c>
      <c r="G99" s="111">
        <f>50000000-50000000</f>
        <v>0</v>
      </c>
      <c r="H99" s="111">
        <v>50000000</v>
      </c>
    </row>
    <row r="100" spans="1:15" ht="30" x14ac:dyDescent="0.2">
      <c r="A100" s="72" t="s">
        <v>228</v>
      </c>
      <c r="B100" s="109" t="s">
        <v>197</v>
      </c>
      <c r="C100" s="109" t="s">
        <v>225</v>
      </c>
      <c r="D100" s="109" t="s">
        <v>229</v>
      </c>
      <c r="E100" s="109"/>
      <c r="F100" s="111">
        <f>F101</f>
        <v>0</v>
      </c>
      <c r="G100" s="111">
        <f>G101</f>
        <v>0</v>
      </c>
      <c r="H100" s="111">
        <f>H101</f>
        <v>0</v>
      </c>
    </row>
    <row r="101" spans="1:15" x14ac:dyDescent="0.2">
      <c r="A101" s="70" t="s">
        <v>172</v>
      </c>
      <c r="B101" s="109" t="s">
        <v>197</v>
      </c>
      <c r="C101" s="109" t="s">
        <v>225</v>
      </c>
      <c r="D101" s="109" t="s">
        <v>229</v>
      </c>
      <c r="E101" s="109" t="s">
        <v>179</v>
      </c>
      <c r="F101" s="111">
        <f>30000000-30000000</f>
        <v>0</v>
      </c>
      <c r="G101" s="111">
        <v>0</v>
      </c>
      <c r="H101" s="111">
        <v>0</v>
      </c>
    </row>
    <row r="102" spans="1:15" ht="30" x14ac:dyDescent="0.2">
      <c r="A102" s="72" t="s">
        <v>228</v>
      </c>
      <c r="B102" s="109" t="s">
        <v>197</v>
      </c>
      <c r="C102" s="109" t="s">
        <v>225</v>
      </c>
      <c r="D102" s="109" t="s">
        <v>229</v>
      </c>
      <c r="E102" s="109"/>
      <c r="F102" s="111">
        <f>F103</f>
        <v>0</v>
      </c>
      <c r="G102" s="111">
        <f>G103</f>
        <v>0</v>
      </c>
      <c r="H102" s="111">
        <f>H103</f>
        <v>0</v>
      </c>
    </row>
    <row r="103" spans="1:15" x14ac:dyDescent="0.2">
      <c r="A103" s="70" t="s">
        <v>172</v>
      </c>
      <c r="B103" s="109" t="s">
        <v>197</v>
      </c>
      <c r="C103" s="109" t="s">
        <v>225</v>
      </c>
      <c r="D103" s="109" t="s">
        <v>229</v>
      </c>
      <c r="E103" s="109" t="s">
        <v>179</v>
      </c>
      <c r="F103" s="111">
        <f>88169393.23+7195232.77-74312500.34-21052125.66</f>
        <v>0</v>
      </c>
      <c r="G103" s="111">
        <v>0</v>
      </c>
      <c r="H103" s="111">
        <v>0</v>
      </c>
    </row>
    <row r="104" spans="1:15" ht="30" x14ac:dyDescent="0.2">
      <c r="A104" s="72" t="s">
        <v>228</v>
      </c>
      <c r="B104" s="109" t="s">
        <v>197</v>
      </c>
      <c r="C104" s="109" t="s">
        <v>225</v>
      </c>
      <c r="D104" s="109" t="s">
        <v>229</v>
      </c>
      <c r="E104" s="109"/>
      <c r="F104" s="111">
        <f>F105</f>
        <v>36879673.329999998</v>
      </c>
      <c r="G104" s="111">
        <f>G105</f>
        <v>0</v>
      </c>
      <c r="H104" s="111">
        <f>H105</f>
        <v>0</v>
      </c>
    </row>
    <row r="105" spans="1:15" x14ac:dyDescent="0.2">
      <c r="A105" s="70" t="s">
        <v>172</v>
      </c>
      <c r="B105" s="109" t="s">
        <v>197</v>
      </c>
      <c r="C105" s="109" t="s">
        <v>225</v>
      </c>
      <c r="D105" s="109" t="s">
        <v>229</v>
      </c>
      <c r="E105" s="109" t="s">
        <v>179</v>
      </c>
      <c r="F105" s="111">
        <f>50000+686700+7359680+3564000+310440+3000000+21654333.33+50000+189560+14960</f>
        <v>36879673.329999998</v>
      </c>
      <c r="G105" s="111">
        <v>0</v>
      </c>
      <c r="H105" s="111">
        <v>0</v>
      </c>
    </row>
    <row r="106" spans="1:15" s="105" customFormat="1" ht="31.5" x14ac:dyDescent="0.25">
      <c r="A106" s="82" t="s">
        <v>230</v>
      </c>
      <c r="B106" s="107" t="s">
        <v>207</v>
      </c>
      <c r="C106" s="107"/>
      <c r="D106" s="103"/>
      <c r="E106" s="103"/>
      <c r="F106" s="113">
        <f t="shared" ref="F106:H107" si="7">F107</f>
        <v>16954511.810000002</v>
      </c>
      <c r="G106" s="113">
        <f t="shared" si="7"/>
        <v>14500153</v>
      </c>
      <c r="H106" s="113">
        <f t="shared" si="7"/>
        <v>14500153</v>
      </c>
      <c r="I106" s="106"/>
      <c r="J106" s="106"/>
      <c r="K106" s="106"/>
      <c r="L106" s="106"/>
      <c r="M106" s="106"/>
      <c r="N106" s="106"/>
      <c r="O106" s="106"/>
    </row>
    <row r="107" spans="1:15" s="105" customFormat="1" ht="78.75" x14ac:dyDescent="0.25">
      <c r="A107" s="82" t="s">
        <v>231</v>
      </c>
      <c r="B107" s="107" t="s">
        <v>207</v>
      </c>
      <c r="C107" s="107" t="s">
        <v>232</v>
      </c>
      <c r="D107" s="103"/>
      <c r="E107" s="103"/>
      <c r="F107" s="113">
        <f t="shared" si="7"/>
        <v>16954511.810000002</v>
      </c>
      <c r="G107" s="113">
        <f t="shared" si="7"/>
        <v>14500153</v>
      </c>
      <c r="H107" s="113">
        <f t="shared" si="7"/>
        <v>14500153</v>
      </c>
      <c r="I107" s="106"/>
      <c r="J107" s="106"/>
      <c r="K107" s="106"/>
      <c r="L107" s="106"/>
      <c r="M107" s="106"/>
      <c r="N107" s="106"/>
      <c r="O107" s="106"/>
    </row>
    <row r="108" spans="1:15" s="105" customFormat="1" ht="15.75" x14ac:dyDescent="0.25">
      <c r="A108" s="79" t="s">
        <v>200</v>
      </c>
      <c r="B108" s="107" t="s">
        <v>207</v>
      </c>
      <c r="C108" s="107" t="s">
        <v>232</v>
      </c>
      <c r="D108" s="103">
        <v>9900000000</v>
      </c>
      <c r="E108" s="103"/>
      <c r="F108" s="113">
        <f>F109+F114</f>
        <v>16954511.810000002</v>
      </c>
      <c r="G108" s="113">
        <f>G109+G114</f>
        <v>14500153</v>
      </c>
      <c r="H108" s="113">
        <f>H109+H114</f>
        <v>14500153</v>
      </c>
      <c r="I108" s="106"/>
      <c r="J108" s="106"/>
      <c r="K108" s="106"/>
      <c r="L108" s="106"/>
      <c r="M108" s="106"/>
      <c r="N108" s="106"/>
      <c r="O108" s="106"/>
    </row>
    <row r="109" spans="1:15" ht="30" x14ac:dyDescent="0.2">
      <c r="A109" s="72" t="s">
        <v>202</v>
      </c>
      <c r="B109" s="109" t="s">
        <v>207</v>
      </c>
      <c r="C109" s="109" t="s">
        <v>232</v>
      </c>
      <c r="D109" s="100">
        <v>9910000000</v>
      </c>
      <c r="E109" s="100"/>
      <c r="F109" s="111">
        <f>F110</f>
        <v>13954511.810000001</v>
      </c>
      <c r="G109" s="111">
        <f>G110</f>
        <v>13500153</v>
      </c>
      <c r="H109" s="111">
        <f>H110</f>
        <v>13500153</v>
      </c>
    </row>
    <row r="110" spans="1:15" ht="30" x14ac:dyDescent="0.2">
      <c r="A110" s="70" t="s">
        <v>226</v>
      </c>
      <c r="B110" s="109" t="s">
        <v>207</v>
      </c>
      <c r="C110" s="109" t="s">
        <v>232</v>
      </c>
      <c r="D110" s="100">
        <v>9910022001</v>
      </c>
      <c r="E110" s="100"/>
      <c r="F110" s="111">
        <f>SUM(F111:F113)</f>
        <v>13954511.810000001</v>
      </c>
      <c r="G110" s="111">
        <f>SUM(G111:G113)</f>
        <v>13500153</v>
      </c>
      <c r="H110" s="111">
        <f>SUM(H111:H113)</f>
        <v>13500153</v>
      </c>
    </row>
    <row r="111" spans="1:15" ht="75" x14ac:dyDescent="0.2">
      <c r="A111" s="72" t="s">
        <v>169</v>
      </c>
      <c r="B111" s="109" t="s">
        <v>207</v>
      </c>
      <c r="C111" s="109" t="s">
        <v>232</v>
      </c>
      <c r="D111" s="100">
        <v>9910022001</v>
      </c>
      <c r="E111" s="109" t="s">
        <v>178</v>
      </c>
      <c r="F111" s="111">
        <f>9881628+628558.81</f>
        <v>10510186.810000001</v>
      </c>
      <c r="G111" s="111">
        <v>10039828</v>
      </c>
      <c r="H111" s="111">
        <v>10039828</v>
      </c>
    </row>
    <row r="112" spans="1:15" ht="30" x14ac:dyDescent="0.2">
      <c r="A112" s="72" t="s">
        <v>170</v>
      </c>
      <c r="B112" s="109" t="s">
        <v>207</v>
      </c>
      <c r="C112" s="109" t="s">
        <v>232</v>
      </c>
      <c r="D112" s="100">
        <v>9910022001</v>
      </c>
      <c r="E112" s="109" t="s">
        <v>181</v>
      </c>
      <c r="F112" s="111">
        <v>3444325</v>
      </c>
      <c r="G112" s="111">
        <v>3460325</v>
      </c>
      <c r="H112" s="111">
        <v>3460325</v>
      </c>
    </row>
    <row r="113" spans="1:8" hidden="1" x14ac:dyDescent="0.2">
      <c r="A113" s="72" t="s">
        <v>172</v>
      </c>
      <c r="B113" s="109" t="s">
        <v>207</v>
      </c>
      <c r="C113" s="109" t="s">
        <v>232</v>
      </c>
      <c r="D113" s="100">
        <v>9910022001</v>
      </c>
      <c r="E113" s="100">
        <v>800</v>
      </c>
      <c r="F113" s="111"/>
      <c r="G113" s="111"/>
      <c r="H113" s="111"/>
    </row>
    <row r="114" spans="1:8" x14ac:dyDescent="0.2">
      <c r="A114" s="72" t="s">
        <v>220</v>
      </c>
      <c r="B114" s="109" t="s">
        <v>207</v>
      </c>
      <c r="C114" s="109" t="s">
        <v>232</v>
      </c>
      <c r="D114" s="100">
        <v>9950000000</v>
      </c>
      <c r="E114" s="100"/>
      <c r="F114" s="111">
        <f>F115+F117</f>
        <v>3000000</v>
      </c>
      <c r="G114" s="111">
        <f>G115+G117</f>
        <v>1000000</v>
      </c>
      <c r="H114" s="111">
        <f>H115+H117</f>
        <v>1000000</v>
      </c>
    </row>
    <row r="115" spans="1:8" ht="45" x14ac:dyDescent="0.2">
      <c r="A115" s="72" t="s">
        <v>233</v>
      </c>
      <c r="B115" s="109" t="s">
        <v>207</v>
      </c>
      <c r="C115" s="109" t="s">
        <v>232</v>
      </c>
      <c r="D115" s="114" t="s">
        <v>234</v>
      </c>
      <c r="E115" s="100"/>
      <c r="F115" s="111">
        <f>F116</f>
        <v>2497000</v>
      </c>
      <c r="G115" s="111">
        <f>G116</f>
        <v>1000000</v>
      </c>
      <c r="H115" s="111">
        <f>H116</f>
        <v>1000000</v>
      </c>
    </row>
    <row r="116" spans="1:8" ht="30" x14ac:dyDescent="0.2">
      <c r="A116" s="72" t="s">
        <v>170</v>
      </c>
      <c r="B116" s="109" t="s">
        <v>207</v>
      </c>
      <c r="C116" s="109" t="s">
        <v>232</v>
      </c>
      <c r="D116" s="114" t="s">
        <v>234</v>
      </c>
      <c r="E116" s="100">
        <v>200</v>
      </c>
      <c r="F116" s="111">
        <f>3000000-503000</f>
        <v>2497000</v>
      </c>
      <c r="G116" s="111">
        <v>1000000</v>
      </c>
      <c r="H116" s="111">
        <v>1000000</v>
      </c>
    </row>
    <row r="117" spans="1:8" ht="30" x14ac:dyDescent="0.2">
      <c r="A117" s="72" t="s">
        <v>621</v>
      </c>
      <c r="B117" s="109" t="s">
        <v>207</v>
      </c>
      <c r="C117" s="109" t="s">
        <v>232</v>
      </c>
      <c r="D117" s="114" t="s">
        <v>665</v>
      </c>
      <c r="E117" s="100"/>
      <c r="F117" s="111">
        <f>F118</f>
        <v>503000</v>
      </c>
      <c r="G117" s="111">
        <f>G118</f>
        <v>0</v>
      </c>
      <c r="H117" s="111">
        <f>H118</f>
        <v>0</v>
      </c>
    </row>
    <row r="118" spans="1:8" ht="30" x14ac:dyDescent="0.2">
      <c r="A118" s="72" t="s">
        <v>170</v>
      </c>
      <c r="B118" s="109" t="s">
        <v>207</v>
      </c>
      <c r="C118" s="109" t="s">
        <v>232</v>
      </c>
      <c r="D118" s="114" t="s">
        <v>665</v>
      </c>
      <c r="E118" s="100">
        <v>200</v>
      </c>
      <c r="F118" s="111">
        <v>503000</v>
      </c>
      <c r="G118" s="111">
        <v>0</v>
      </c>
      <c r="H118" s="111">
        <v>0</v>
      </c>
    </row>
    <row r="119" spans="1:8" ht="15.75" x14ac:dyDescent="0.25">
      <c r="A119" s="82" t="s">
        <v>235</v>
      </c>
      <c r="B119" s="107" t="s">
        <v>211</v>
      </c>
      <c r="C119" s="107"/>
      <c r="D119" s="115"/>
      <c r="E119" s="103"/>
      <c r="F119" s="113">
        <f>F120+F125+F133</f>
        <v>81986564.409999996</v>
      </c>
      <c r="G119" s="113">
        <f>G120+G125+G133</f>
        <v>5914734.4900000002</v>
      </c>
      <c r="H119" s="113">
        <f>H120+H125+H133</f>
        <v>5914734.4900000002</v>
      </c>
    </row>
    <row r="120" spans="1:8" ht="15.75" x14ac:dyDescent="0.25">
      <c r="A120" s="82" t="s">
        <v>236</v>
      </c>
      <c r="B120" s="107" t="s">
        <v>211</v>
      </c>
      <c r="C120" s="107" t="s">
        <v>197</v>
      </c>
      <c r="D120" s="115"/>
      <c r="E120" s="103"/>
      <c r="F120" s="113">
        <f t="shared" ref="F120:H123" si="8">F121</f>
        <v>287876.25</v>
      </c>
      <c r="G120" s="113">
        <f t="shared" si="8"/>
        <v>287876.25</v>
      </c>
      <c r="H120" s="113">
        <f t="shared" si="8"/>
        <v>287876.25</v>
      </c>
    </row>
    <row r="121" spans="1:8" ht="15.75" x14ac:dyDescent="0.25">
      <c r="A121" s="82" t="s">
        <v>200</v>
      </c>
      <c r="B121" s="107" t="s">
        <v>211</v>
      </c>
      <c r="C121" s="107" t="s">
        <v>197</v>
      </c>
      <c r="D121" s="115">
        <v>9900000000</v>
      </c>
      <c r="E121" s="103"/>
      <c r="F121" s="113">
        <f t="shared" si="8"/>
        <v>287876.25</v>
      </c>
      <c r="G121" s="113">
        <f t="shared" si="8"/>
        <v>287876.25</v>
      </c>
      <c r="H121" s="113">
        <f t="shared" si="8"/>
        <v>287876.25</v>
      </c>
    </row>
    <row r="122" spans="1:8" ht="30" x14ac:dyDescent="0.2">
      <c r="A122" s="72" t="s">
        <v>202</v>
      </c>
      <c r="B122" s="109" t="s">
        <v>211</v>
      </c>
      <c r="C122" s="109" t="s">
        <v>197</v>
      </c>
      <c r="D122" s="114" t="s">
        <v>203</v>
      </c>
      <c r="E122" s="100"/>
      <c r="F122" s="111">
        <f t="shared" si="8"/>
        <v>287876.25</v>
      </c>
      <c r="G122" s="111">
        <f t="shared" si="8"/>
        <v>287876.25</v>
      </c>
      <c r="H122" s="111">
        <f t="shared" si="8"/>
        <v>287876.25</v>
      </c>
    </row>
    <row r="123" spans="1:8" ht="30" x14ac:dyDescent="0.2">
      <c r="A123" s="72" t="s">
        <v>212</v>
      </c>
      <c r="B123" s="109" t="s">
        <v>211</v>
      </c>
      <c r="C123" s="109" t="s">
        <v>197</v>
      </c>
      <c r="D123" s="114" t="s">
        <v>213</v>
      </c>
      <c r="E123" s="100"/>
      <c r="F123" s="111">
        <f t="shared" si="8"/>
        <v>287876.25</v>
      </c>
      <c r="G123" s="111">
        <f t="shared" si="8"/>
        <v>287876.25</v>
      </c>
      <c r="H123" s="111">
        <f t="shared" si="8"/>
        <v>287876.25</v>
      </c>
    </row>
    <row r="124" spans="1:8" ht="75" x14ac:dyDescent="0.2">
      <c r="A124" s="72" t="s">
        <v>169</v>
      </c>
      <c r="B124" s="109" t="s">
        <v>211</v>
      </c>
      <c r="C124" s="109" t="s">
        <v>197</v>
      </c>
      <c r="D124" s="114" t="s">
        <v>213</v>
      </c>
      <c r="E124" s="100">
        <v>100</v>
      </c>
      <c r="F124" s="111">
        <f>287876.25</f>
        <v>287876.25</v>
      </c>
      <c r="G124" s="111">
        <v>287876.25</v>
      </c>
      <c r="H124" s="111">
        <v>287876.25</v>
      </c>
    </row>
    <row r="125" spans="1:8" ht="15.75" x14ac:dyDescent="0.25">
      <c r="A125" s="82" t="s">
        <v>237</v>
      </c>
      <c r="B125" s="107" t="s">
        <v>211</v>
      </c>
      <c r="C125" s="107" t="s">
        <v>238</v>
      </c>
      <c r="D125" s="115"/>
      <c r="E125" s="103"/>
      <c r="F125" s="113">
        <f t="shared" ref="F125:H128" si="9">F126</f>
        <v>6086858.2400000002</v>
      </c>
      <c r="G125" s="113">
        <f t="shared" si="9"/>
        <v>5626858.2400000002</v>
      </c>
      <c r="H125" s="113">
        <f t="shared" si="9"/>
        <v>5626858.2400000002</v>
      </c>
    </row>
    <row r="126" spans="1:8" ht="15.75" x14ac:dyDescent="0.25">
      <c r="A126" s="82" t="s">
        <v>200</v>
      </c>
      <c r="B126" s="107" t="s">
        <v>211</v>
      </c>
      <c r="C126" s="107" t="s">
        <v>238</v>
      </c>
      <c r="D126" s="115">
        <v>9900000000</v>
      </c>
      <c r="E126" s="103"/>
      <c r="F126" s="113">
        <f>F127+F130</f>
        <v>6086858.2400000002</v>
      </c>
      <c r="G126" s="113">
        <f>G127+G130</f>
        <v>5626858.2400000002</v>
      </c>
      <c r="H126" s="113">
        <f>H127+H130</f>
        <v>5626858.2400000002</v>
      </c>
    </row>
    <row r="127" spans="1:8" ht="30" x14ac:dyDescent="0.2">
      <c r="A127" s="72" t="s">
        <v>202</v>
      </c>
      <c r="B127" s="109" t="s">
        <v>211</v>
      </c>
      <c r="C127" s="109" t="s">
        <v>238</v>
      </c>
      <c r="D127" s="114" t="s">
        <v>203</v>
      </c>
      <c r="E127" s="100"/>
      <c r="F127" s="111">
        <f t="shared" si="9"/>
        <v>5626858.2400000002</v>
      </c>
      <c r="G127" s="111">
        <f t="shared" si="9"/>
        <v>5626858.2400000002</v>
      </c>
      <c r="H127" s="111">
        <f t="shared" si="9"/>
        <v>5626858.2400000002</v>
      </c>
    </row>
    <row r="128" spans="1:8" ht="30" x14ac:dyDescent="0.2">
      <c r="A128" s="72" t="s">
        <v>226</v>
      </c>
      <c r="B128" s="109" t="s">
        <v>211</v>
      </c>
      <c r="C128" s="109" t="s">
        <v>238</v>
      </c>
      <c r="D128" s="114" t="s">
        <v>239</v>
      </c>
      <c r="E128" s="100"/>
      <c r="F128" s="111">
        <f t="shared" si="9"/>
        <v>5626858.2400000002</v>
      </c>
      <c r="G128" s="111">
        <f t="shared" si="9"/>
        <v>5626858.2400000002</v>
      </c>
      <c r="H128" s="111">
        <f t="shared" si="9"/>
        <v>5626858.2400000002</v>
      </c>
    </row>
    <row r="129" spans="1:15" ht="75" x14ac:dyDescent="0.2">
      <c r="A129" s="72" t="s">
        <v>169</v>
      </c>
      <c r="B129" s="109" t="s">
        <v>211</v>
      </c>
      <c r="C129" s="109" t="s">
        <v>238</v>
      </c>
      <c r="D129" s="114" t="s">
        <v>239</v>
      </c>
      <c r="E129" s="100">
        <v>100</v>
      </c>
      <c r="F129" s="111">
        <v>5626858.2400000002</v>
      </c>
      <c r="G129" s="111">
        <v>5626858.2400000002</v>
      </c>
      <c r="H129" s="111">
        <v>5626858.2400000002</v>
      </c>
    </row>
    <row r="130" spans="1:15" x14ac:dyDescent="0.2">
      <c r="A130" s="72" t="s">
        <v>220</v>
      </c>
      <c r="B130" s="109" t="s">
        <v>211</v>
      </c>
      <c r="C130" s="109" t="s">
        <v>238</v>
      </c>
      <c r="D130" s="114" t="s">
        <v>221</v>
      </c>
      <c r="E130" s="100"/>
      <c r="F130" s="111">
        <f t="shared" ref="F130:H131" si="10">F131</f>
        <v>460000</v>
      </c>
      <c r="G130" s="111">
        <f t="shared" si="10"/>
        <v>0</v>
      </c>
      <c r="H130" s="111">
        <f t="shared" si="10"/>
        <v>0</v>
      </c>
    </row>
    <row r="131" spans="1:15" ht="30" x14ac:dyDescent="0.2">
      <c r="A131" s="72" t="s">
        <v>228</v>
      </c>
      <c r="B131" s="109" t="s">
        <v>211</v>
      </c>
      <c r="C131" s="109" t="s">
        <v>238</v>
      </c>
      <c r="D131" s="114" t="s">
        <v>229</v>
      </c>
      <c r="E131" s="100"/>
      <c r="F131" s="111">
        <f t="shared" si="10"/>
        <v>460000</v>
      </c>
      <c r="G131" s="111">
        <f t="shared" si="10"/>
        <v>0</v>
      </c>
      <c r="H131" s="111">
        <f t="shared" si="10"/>
        <v>0</v>
      </c>
    </row>
    <row r="132" spans="1:15" ht="30" x14ac:dyDescent="0.2">
      <c r="A132" s="70" t="s">
        <v>171</v>
      </c>
      <c r="B132" s="109" t="s">
        <v>211</v>
      </c>
      <c r="C132" s="109" t="s">
        <v>238</v>
      </c>
      <c r="D132" s="114" t="s">
        <v>229</v>
      </c>
      <c r="E132" s="100">
        <v>300</v>
      </c>
      <c r="F132" s="111">
        <v>460000</v>
      </c>
      <c r="G132" s="111">
        <v>0</v>
      </c>
      <c r="H132" s="111"/>
    </row>
    <row r="133" spans="1:15" ht="31.5" x14ac:dyDescent="0.25">
      <c r="A133" s="82" t="s">
        <v>286</v>
      </c>
      <c r="B133" s="107" t="s">
        <v>211</v>
      </c>
      <c r="C133" s="107" t="s">
        <v>287</v>
      </c>
      <c r="D133" s="115"/>
      <c r="E133" s="103"/>
      <c r="F133" s="113">
        <f>F134</f>
        <v>75611829.920000002</v>
      </c>
      <c r="G133" s="113">
        <f t="shared" ref="G133:H136" si="11">G134</f>
        <v>0</v>
      </c>
      <c r="H133" s="113">
        <f t="shared" si="11"/>
        <v>0</v>
      </c>
    </row>
    <row r="134" spans="1:15" ht="15.75" x14ac:dyDescent="0.25">
      <c r="A134" s="82" t="s">
        <v>200</v>
      </c>
      <c r="B134" s="107" t="s">
        <v>211</v>
      </c>
      <c r="C134" s="107" t="s">
        <v>287</v>
      </c>
      <c r="D134" s="115" t="s">
        <v>201</v>
      </c>
      <c r="E134" s="103"/>
      <c r="F134" s="113">
        <f>F135</f>
        <v>75611829.920000002</v>
      </c>
      <c r="G134" s="113">
        <f t="shared" si="11"/>
        <v>0</v>
      </c>
      <c r="H134" s="113">
        <f t="shared" si="11"/>
        <v>0</v>
      </c>
    </row>
    <row r="135" spans="1:15" x14ac:dyDescent="0.2">
      <c r="A135" s="72" t="s">
        <v>220</v>
      </c>
      <c r="B135" s="109" t="s">
        <v>211</v>
      </c>
      <c r="C135" s="109" t="s">
        <v>287</v>
      </c>
      <c r="D135" s="114" t="s">
        <v>221</v>
      </c>
      <c r="E135" s="100"/>
      <c r="F135" s="111">
        <f>F136</f>
        <v>75611829.920000002</v>
      </c>
      <c r="G135" s="111">
        <f t="shared" si="11"/>
        <v>0</v>
      </c>
      <c r="H135" s="111">
        <f t="shared" si="11"/>
        <v>0</v>
      </c>
    </row>
    <row r="136" spans="1:15" ht="30" x14ac:dyDescent="0.2">
      <c r="A136" s="72" t="s">
        <v>228</v>
      </c>
      <c r="B136" s="109" t="s">
        <v>211</v>
      </c>
      <c r="C136" s="109" t="s">
        <v>287</v>
      </c>
      <c r="D136" s="114" t="s">
        <v>229</v>
      </c>
      <c r="E136" s="100"/>
      <c r="F136" s="111">
        <f>F137</f>
        <v>75611829.920000002</v>
      </c>
      <c r="G136" s="111">
        <f t="shared" si="11"/>
        <v>0</v>
      </c>
      <c r="H136" s="111">
        <f t="shared" si="11"/>
        <v>0</v>
      </c>
    </row>
    <row r="137" spans="1:15" x14ac:dyDescent="0.2">
      <c r="A137" s="70" t="s">
        <v>172</v>
      </c>
      <c r="B137" s="109" t="s">
        <v>211</v>
      </c>
      <c r="C137" s="109" t="s">
        <v>287</v>
      </c>
      <c r="D137" s="114" t="s">
        <v>229</v>
      </c>
      <c r="E137" s="100">
        <v>800</v>
      </c>
      <c r="F137" s="111">
        <f>30000000+5003630.46+8450000+9311815+6017160.24+16829224.22</f>
        <v>75611829.920000002</v>
      </c>
      <c r="G137" s="111">
        <v>0</v>
      </c>
      <c r="H137" s="111">
        <v>0</v>
      </c>
    </row>
    <row r="138" spans="1:15" s="105" customFormat="1" ht="15.75" x14ac:dyDescent="0.25">
      <c r="A138" s="82" t="s">
        <v>240</v>
      </c>
      <c r="B138" s="107" t="s">
        <v>238</v>
      </c>
      <c r="C138" s="107"/>
      <c r="D138" s="115"/>
      <c r="E138" s="103"/>
      <c r="F138" s="113">
        <f>F145+F139</f>
        <v>12617396.949999999</v>
      </c>
      <c r="G138" s="113">
        <f>G145+G139</f>
        <v>0</v>
      </c>
      <c r="H138" s="113">
        <f>H145+H139</f>
        <v>0</v>
      </c>
      <c r="I138" s="106"/>
      <c r="J138" s="106"/>
      <c r="K138" s="106"/>
      <c r="L138" s="106"/>
      <c r="M138" s="106"/>
      <c r="N138" s="106"/>
      <c r="O138" s="106"/>
    </row>
    <row r="139" spans="1:15" s="105" customFormat="1" ht="15.75" hidden="1" x14ac:dyDescent="0.25">
      <c r="A139" s="82" t="s">
        <v>241</v>
      </c>
      <c r="B139" s="107" t="s">
        <v>238</v>
      </c>
      <c r="C139" s="107" t="s">
        <v>197</v>
      </c>
      <c r="D139" s="115"/>
      <c r="E139" s="103"/>
      <c r="F139" s="113">
        <f>F140</f>
        <v>0</v>
      </c>
      <c r="G139" s="113">
        <f t="shared" ref="G139:H141" si="12">G140</f>
        <v>0</v>
      </c>
      <c r="H139" s="113">
        <f t="shared" si="12"/>
        <v>0</v>
      </c>
      <c r="I139" s="106"/>
      <c r="J139" s="106"/>
      <c r="K139" s="106"/>
      <c r="L139" s="106"/>
      <c r="M139" s="106"/>
      <c r="N139" s="106"/>
      <c r="O139" s="106"/>
    </row>
    <row r="140" spans="1:15" s="105" customFormat="1" ht="15.75" hidden="1" x14ac:dyDescent="0.25">
      <c r="A140" s="82" t="s">
        <v>200</v>
      </c>
      <c r="B140" s="107" t="s">
        <v>238</v>
      </c>
      <c r="C140" s="107" t="s">
        <v>197</v>
      </c>
      <c r="D140" s="115" t="s">
        <v>201</v>
      </c>
      <c r="E140" s="103"/>
      <c r="F140" s="113">
        <f>F141</f>
        <v>0</v>
      </c>
      <c r="G140" s="113">
        <f t="shared" si="12"/>
        <v>0</v>
      </c>
      <c r="H140" s="113">
        <f t="shared" si="12"/>
        <v>0</v>
      </c>
      <c r="I140" s="106"/>
      <c r="J140" s="106"/>
      <c r="K140" s="106"/>
      <c r="L140" s="106"/>
      <c r="M140" s="106"/>
      <c r="N140" s="106"/>
      <c r="O140" s="106"/>
    </row>
    <row r="141" spans="1:15" s="105" customFormat="1" ht="15.75" hidden="1" x14ac:dyDescent="0.25">
      <c r="A141" s="72" t="s">
        <v>220</v>
      </c>
      <c r="B141" s="109" t="s">
        <v>238</v>
      </c>
      <c r="C141" s="109" t="s">
        <v>197</v>
      </c>
      <c r="D141" s="114" t="s">
        <v>221</v>
      </c>
      <c r="E141" s="100"/>
      <c r="F141" s="111">
        <f>F142</f>
        <v>0</v>
      </c>
      <c r="G141" s="111">
        <f t="shared" si="12"/>
        <v>0</v>
      </c>
      <c r="H141" s="111">
        <f t="shared" si="12"/>
        <v>0</v>
      </c>
      <c r="I141" s="106"/>
      <c r="J141" s="106"/>
      <c r="K141" s="106"/>
      <c r="L141" s="106"/>
      <c r="M141" s="106"/>
      <c r="N141" s="106"/>
      <c r="O141" s="106"/>
    </row>
    <row r="142" spans="1:15" s="105" customFormat="1" ht="30.75" hidden="1" x14ac:dyDescent="0.25">
      <c r="A142" s="72" t="s">
        <v>242</v>
      </c>
      <c r="B142" s="109" t="s">
        <v>238</v>
      </c>
      <c r="C142" s="109" t="s">
        <v>197</v>
      </c>
      <c r="D142" s="114" t="s">
        <v>243</v>
      </c>
      <c r="E142" s="100"/>
      <c r="F142" s="111">
        <f>F143+F144</f>
        <v>0</v>
      </c>
      <c r="G142" s="111">
        <f>G143+G144</f>
        <v>0</v>
      </c>
      <c r="H142" s="111">
        <f>H143+H144</f>
        <v>0</v>
      </c>
      <c r="I142" s="106"/>
      <c r="J142" s="106"/>
      <c r="K142" s="106"/>
      <c r="L142" s="106"/>
      <c r="M142" s="106"/>
      <c r="N142" s="106"/>
      <c r="O142" s="106"/>
    </row>
    <row r="143" spans="1:15" s="105" customFormat="1" ht="30.75" hidden="1" x14ac:dyDescent="0.25">
      <c r="A143" s="72" t="s">
        <v>170</v>
      </c>
      <c r="B143" s="109" t="s">
        <v>238</v>
      </c>
      <c r="C143" s="109" t="s">
        <v>197</v>
      </c>
      <c r="D143" s="114" t="s">
        <v>243</v>
      </c>
      <c r="E143" s="100">
        <v>200</v>
      </c>
      <c r="F143" s="111">
        <f>18218243-1821800-16396443</f>
        <v>0</v>
      </c>
      <c r="G143" s="111">
        <v>0</v>
      </c>
      <c r="H143" s="111">
        <v>0</v>
      </c>
      <c r="I143" s="106"/>
      <c r="J143" s="106"/>
      <c r="K143" s="106"/>
      <c r="L143" s="106"/>
      <c r="M143" s="106"/>
      <c r="N143" s="106"/>
      <c r="O143" s="106"/>
    </row>
    <row r="144" spans="1:15" s="105" customFormat="1" ht="45.75" hidden="1" x14ac:dyDescent="0.25">
      <c r="A144" s="70" t="s">
        <v>173</v>
      </c>
      <c r="B144" s="109" t="s">
        <v>238</v>
      </c>
      <c r="C144" s="109" t="s">
        <v>197</v>
      </c>
      <c r="D144" s="114" t="s">
        <v>243</v>
      </c>
      <c r="E144" s="100">
        <v>600</v>
      </c>
      <c r="F144" s="111">
        <v>0</v>
      </c>
      <c r="G144" s="111">
        <v>0</v>
      </c>
      <c r="H144" s="111">
        <v>0</v>
      </c>
      <c r="I144" s="106"/>
      <c r="J144" s="106"/>
      <c r="K144" s="106"/>
      <c r="L144" s="106"/>
      <c r="M144" s="106"/>
      <c r="N144" s="106"/>
      <c r="O144" s="106"/>
    </row>
    <row r="145" spans="1:15" s="105" customFormat="1" ht="15.75" x14ac:dyDescent="0.25">
      <c r="A145" s="82" t="s">
        <v>244</v>
      </c>
      <c r="B145" s="107" t="s">
        <v>238</v>
      </c>
      <c r="C145" s="107" t="s">
        <v>207</v>
      </c>
      <c r="D145" s="115"/>
      <c r="E145" s="103"/>
      <c r="F145" s="113">
        <f>F146</f>
        <v>12617396.949999999</v>
      </c>
      <c r="G145" s="113">
        <f t="shared" ref="G145:H148" si="13">G146</f>
        <v>0</v>
      </c>
      <c r="H145" s="113">
        <f t="shared" si="13"/>
        <v>0</v>
      </c>
      <c r="I145" s="106"/>
      <c r="J145" s="106"/>
      <c r="K145" s="106"/>
      <c r="L145" s="106"/>
      <c r="M145" s="106"/>
      <c r="N145" s="106"/>
      <c r="O145" s="106"/>
    </row>
    <row r="146" spans="1:15" s="105" customFormat="1" ht="15.75" x14ac:dyDescent="0.25">
      <c r="A146" s="82" t="s">
        <v>200</v>
      </c>
      <c r="B146" s="107" t="s">
        <v>238</v>
      </c>
      <c r="C146" s="107" t="s">
        <v>207</v>
      </c>
      <c r="D146" s="115" t="s">
        <v>201</v>
      </c>
      <c r="E146" s="103"/>
      <c r="F146" s="113">
        <f>F147</f>
        <v>12617396.949999999</v>
      </c>
      <c r="G146" s="113">
        <f t="shared" si="13"/>
        <v>0</v>
      </c>
      <c r="H146" s="113">
        <f t="shared" si="13"/>
        <v>0</v>
      </c>
      <c r="I146" s="106"/>
      <c r="J146" s="106"/>
      <c r="K146" s="106"/>
      <c r="L146" s="106"/>
      <c r="M146" s="106"/>
      <c r="N146" s="106"/>
      <c r="O146" s="106"/>
    </row>
    <row r="147" spans="1:15" x14ac:dyDescent="0.2">
      <c r="A147" s="72" t="s">
        <v>220</v>
      </c>
      <c r="B147" s="109" t="s">
        <v>238</v>
      </c>
      <c r="C147" s="109" t="s">
        <v>207</v>
      </c>
      <c r="D147" s="114" t="s">
        <v>221</v>
      </c>
      <c r="E147" s="100"/>
      <c r="F147" s="111">
        <f>F148</f>
        <v>12617396.949999999</v>
      </c>
      <c r="G147" s="111">
        <f t="shared" si="13"/>
        <v>0</v>
      </c>
      <c r="H147" s="111">
        <f t="shared" si="13"/>
        <v>0</v>
      </c>
    </row>
    <row r="148" spans="1:15" x14ac:dyDescent="0.2">
      <c r="A148" s="72" t="s">
        <v>245</v>
      </c>
      <c r="B148" s="109" t="s">
        <v>238</v>
      </c>
      <c r="C148" s="109" t="s">
        <v>207</v>
      </c>
      <c r="D148" s="114" t="s">
        <v>246</v>
      </c>
      <c r="E148" s="100"/>
      <c r="F148" s="111">
        <f>F149</f>
        <v>12617396.949999999</v>
      </c>
      <c r="G148" s="111">
        <f t="shared" si="13"/>
        <v>0</v>
      </c>
      <c r="H148" s="111">
        <f t="shared" si="13"/>
        <v>0</v>
      </c>
    </row>
    <row r="149" spans="1:15" ht="30" x14ac:dyDescent="0.2">
      <c r="A149" s="72" t="s">
        <v>170</v>
      </c>
      <c r="B149" s="109" t="s">
        <v>238</v>
      </c>
      <c r="C149" s="109" t="s">
        <v>207</v>
      </c>
      <c r="D149" s="114" t="s">
        <v>246</v>
      </c>
      <c r="E149" s="100">
        <v>200</v>
      </c>
      <c r="F149" s="111">
        <f>10598503.61+1482076.33+536817.01</f>
        <v>12617396.949999999</v>
      </c>
      <c r="G149" s="111">
        <v>0</v>
      </c>
      <c r="H149" s="111">
        <v>0</v>
      </c>
    </row>
    <row r="150" spans="1:15" s="105" customFormat="1" ht="15.75" x14ac:dyDescent="0.25">
      <c r="A150" s="79" t="s">
        <v>247</v>
      </c>
      <c r="B150" s="107" t="s">
        <v>248</v>
      </c>
      <c r="C150" s="107"/>
      <c r="D150" s="115"/>
      <c r="E150" s="103"/>
      <c r="F150" s="113">
        <f>F157+F151+F171+F164</f>
        <v>68533969.239999995</v>
      </c>
      <c r="G150" s="113">
        <f>G157+G151+G171</f>
        <v>7610479</v>
      </c>
      <c r="H150" s="113">
        <f>H157+H151+H171</f>
        <v>7324191</v>
      </c>
      <c r="I150" s="106"/>
      <c r="J150" s="106"/>
      <c r="K150" s="106"/>
      <c r="L150" s="106"/>
      <c r="M150" s="106"/>
      <c r="N150" s="106"/>
      <c r="O150" s="106"/>
    </row>
    <row r="151" spans="1:15" s="105" customFormat="1" ht="15.75" x14ac:dyDescent="0.25">
      <c r="A151" s="79" t="s">
        <v>249</v>
      </c>
      <c r="B151" s="107" t="s">
        <v>248</v>
      </c>
      <c r="C151" s="107" t="s">
        <v>197</v>
      </c>
      <c r="D151" s="115"/>
      <c r="E151" s="103"/>
      <c r="F151" s="113">
        <f>F152</f>
        <v>43657058.479999989</v>
      </c>
      <c r="G151" s="113">
        <f t="shared" ref="G151:H153" si="14">G152</f>
        <v>7610479</v>
      </c>
      <c r="H151" s="113">
        <f t="shared" si="14"/>
        <v>7324191</v>
      </c>
      <c r="I151" s="106"/>
      <c r="J151" s="106"/>
      <c r="K151" s="106"/>
      <c r="L151" s="106"/>
      <c r="M151" s="106"/>
      <c r="N151" s="106"/>
      <c r="O151" s="106"/>
    </row>
    <row r="152" spans="1:15" s="105" customFormat="1" ht="15.75" x14ac:dyDescent="0.25">
      <c r="A152" s="82" t="s">
        <v>200</v>
      </c>
      <c r="B152" s="107" t="s">
        <v>248</v>
      </c>
      <c r="C152" s="107" t="s">
        <v>197</v>
      </c>
      <c r="D152" s="115" t="s">
        <v>201</v>
      </c>
      <c r="E152" s="103"/>
      <c r="F152" s="113">
        <f>F153</f>
        <v>43657058.479999989</v>
      </c>
      <c r="G152" s="113">
        <f t="shared" si="14"/>
        <v>7610479</v>
      </c>
      <c r="H152" s="113">
        <f t="shared" si="14"/>
        <v>7324191</v>
      </c>
      <c r="I152" s="106"/>
      <c r="J152" s="106"/>
      <c r="K152" s="106"/>
      <c r="L152" s="106"/>
      <c r="M152" s="106"/>
      <c r="N152" s="106"/>
      <c r="O152" s="106"/>
    </row>
    <row r="153" spans="1:15" s="105" customFormat="1" ht="15.75" x14ac:dyDescent="0.25">
      <c r="A153" s="72" t="s">
        <v>220</v>
      </c>
      <c r="B153" s="109" t="s">
        <v>248</v>
      </c>
      <c r="C153" s="109" t="s">
        <v>197</v>
      </c>
      <c r="D153" s="114" t="s">
        <v>221</v>
      </c>
      <c r="E153" s="100"/>
      <c r="F153" s="111">
        <f>F154</f>
        <v>43657058.479999989</v>
      </c>
      <c r="G153" s="111">
        <f t="shared" si="14"/>
        <v>7610479</v>
      </c>
      <c r="H153" s="111">
        <f t="shared" si="14"/>
        <v>7324191</v>
      </c>
      <c r="I153" s="106"/>
      <c r="J153" s="106"/>
      <c r="K153" s="106"/>
      <c r="L153" s="106"/>
      <c r="M153" s="106"/>
      <c r="N153" s="106"/>
      <c r="O153" s="106"/>
    </row>
    <row r="154" spans="1:15" s="105" customFormat="1" ht="30.75" x14ac:dyDescent="0.25">
      <c r="A154" s="72" t="s">
        <v>228</v>
      </c>
      <c r="B154" s="109" t="s">
        <v>248</v>
      </c>
      <c r="C154" s="109" t="s">
        <v>197</v>
      </c>
      <c r="D154" s="114" t="s">
        <v>229</v>
      </c>
      <c r="E154" s="100"/>
      <c r="F154" s="111">
        <f>F156+F155</f>
        <v>43657058.479999989</v>
      </c>
      <c r="G154" s="111">
        <f>G156+G155</f>
        <v>7610479</v>
      </c>
      <c r="H154" s="111">
        <f>H156+H155</f>
        <v>7324191</v>
      </c>
      <c r="I154" s="106"/>
      <c r="J154" s="106"/>
      <c r="K154" s="106"/>
      <c r="L154" s="106"/>
      <c r="M154" s="106"/>
      <c r="N154" s="106"/>
      <c r="O154" s="106"/>
    </row>
    <row r="155" spans="1:15" s="105" customFormat="1" ht="30.75" x14ac:dyDescent="0.25">
      <c r="A155" s="72" t="s">
        <v>170</v>
      </c>
      <c r="B155" s="109" t="s">
        <v>248</v>
      </c>
      <c r="C155" s="109" t="s">
        <v>197</v>
      </c>
      <c r="D155" s="114" t="s">
        <v>229</v>
      </c>
      <c r="E155" s="100">
        <v>200</v>
      </c>
      <c r="F155" s="111">
        <f>762328.86+4016703.54+3092360.33+35022233.26-1074450-133000-803031.84-1554891.31-1914841.67+385800-1028078.41-1010840.28</f>
        <v>35760292.479999989</v>
      </c>
      <c r="G155" s="111">
        <v>0</v>
      </c>
      <c r="H155" s="111">
        <v>0</v>
      </c>
      <c r="I155" s="106"/>
      <c r="J155" s="106"/>
      <c r="K155" s="106"/>
      <c r="L155" s="106"/>
      <c r="M155" s="106"/>
      <c r="N155" s="106"/>
      <c r="O155" s="106"/>
    </row>
    <row r="156" spans="1:15" s="105" customFormat="1" ht="15.75" x14ac:dyDescent="0.25">
      <c r="A156" s="70" t="s">
        <v>172</v>
      </c>
      <c r="B156" s="109" t="s">
        <v>248</v>
      </c>
      <c r="C156" s="109" t="s">
        <v>197</v>
      </c>
      <c r="D156" s="114" t="s">
        <v>229</v>
      </c>
      <c r="E156" s="100">
        <v>800</v>
      </c>
      <c r="F156" s="260">
        <v>7896766</v>
      </c>
      <c r="G156" s="260">
        <v>7610479</v>
      </c>
      <c r="H156" s="260">
        <v>7324191</v>
      </c>
      <c r="I156" s="106"/>
      <c r="J156" s="106"/>
      <c r="K156" s="106"/>
      <c r="L156" s="106"/>
      <c r="M156" s="106"/>
      <c r="N156" s="106"/>
      <c r="O156" s="106"/>
    </row>
    <row r="157" spans="1:15" s="105" customFormat="1" ht="15.75" x14ac:dyDescent="0.25">
      <c r="A157" s="79" t="s">
        <v>250</v>
      </c>
      <c r="B157" s="107" t="s">
        <v>248</v>
      </c>
      <c r="C157" s="107" t="s">
        <v>199</v>
      </c>
      <c r="D157" s="115"/>
      <c r="E157" s="103"/>
      <c r="F157" s="113">
        <f>F158</f>
        <v>22580344.100000001</v>
      </c>
      <c r="G157" s="113">
        <f t="shared" ref="G157:H159" si="15">G158</f>
        <v>0</v>
      </c>
      <c r="H157" s="113">
        <f t="shared" si="15"/>
        <v>0</v>
      </c>
      <c r="I157" s="106"/>
      <c r="J157" s="106"/>
      <c r="K157" s="106"/>
      <c r="L157" s="106"/>
      <c r="M157" s="106"/>
      <c r="N157" s="106"/>
      <c r="O157" s="106"/>
    </row>
    <row r="158" spans="1:15" s="105" customFormat="1" ht="15.75" x14ac:dyDescent="0.25">
      <c r="A158" s="82" t="s">
        <v>200</v>
      </c>
      <c r="B158" s="107" t="s">
        <v>248</v>
      </c>
      <c r="C158" s="107" t="s">
        <v>199</v>
      </c>
      <c r="D158" s="115" t="s">
        <v>201</v>
      </c>
      <c r="E158" s="103"/>
      <c r="F158" s="113">
        <f>F159</f>
        <v>22580344.100000001</v>
      </c>
      <c r="G158" s="113">
        <f t="shared" si="15"/>
        <v>0</v>
      </c>
      <c r="H158" s="113">
        <f t="shared" si="15"/>
        <v>0</v>
      </c>
      <c r="I158" s="106"/>
      <c r="J158" s="106"/>
      <c r="K158" s="106"/>
      <c r="L158" s="106"/>
      <c r="M158" s="106"/>
      <c r="N158" s="106"/>
      <c r="O158" s="106"/>
    </row>
    <row r="159" spans="1:15" x14ac:dyDescent="0.2">
      <c r="A159" s="72" t="s">
        <v>220</v>
      </c>
      <c r="B159" s="109" t="s">
        <v>248</v>
      </c>
      <c r="C159" s="109" t="s">
        <v>199</v>
      </c>
      <c r="D159" s="114" t="s">
        <v>221</v>
      </c>
      <c r="E159" s="100"/>
      <c r="F159" s="111">
        <f>F160</f>
        <v>22580344.100000001</v>
      </c>
      <c r="G159" s="111">
        <f t="shared" si="15"/>
        <v>0</v>
      </c>
      <c r="H159" s="111">
        <f t="shared" si="15"/>
        <v>0</v>
      </c>
    </row>
    <row r="160" spans="1:15" ht="30" x14ac:dyDescent="0.2">
      <c r="A160" s="72" t="s">
        <v>228</v>
      </c>
      <c r="B160" s="109" t="s">
        <v>248</v>
      </c>
      <c r="C160" s="109" t="s">
        <v>199</v>
      </c>
      <c r="D160" s="114" t="s">
        <v>229</v>
      </c>
      <c r="E160" s="100"/>
      <c r="F160" s="111">
        <f>SUM(F161:F163)</f>
        <v>22580344.100000001</v>
      </c>
      <c r="G160" s="111">
        <f>SUM(G161:G163)</f>
        <v>0</v>
      </c>
      <c r="H160" s="111">
        <f>SUM(H161:H163)</f>
        <v>0</v>
      </c>
    </row>
    <row r="161" spans="1:8" ht="30" x14ac:dyDescent="0.2">
      <c r="A161" s="72" t="s">
        <v>170</v>
      </c>
      <c r="B161" s="109" t="s">
        <v>248</v>
      </c>
      <c r="C161" s="109" t="s">
        <v>199</v>
      </c>
      <c r="D161" s="114" t="s">
        <v>229</v>
      </c>
      <c r="E161" s="100">
        <v>200</v>
      </c>
      <c r="F161" s="111">
        <f>4249937.88+297000+161366.81</f>
        <v>4708304.6899999995</v>
      </c>
      <c r="G161" s="111">
        <v>0</v>
      </c>
      <c r="H161" s="111">
        <v>0</v>
      </c>
    </row>
    <row r="162" spans="1:8" ht="30" hidden="1" x14ac:dyDescent="0.2">
      <c r="A162" s="72" t="s">
        <v>187</v>
      </c>
      <c r="B162" s="109" t="s">
        <v>248</v>
      </c>
      <c r="C162" s="109" t="s">
        <v>199</v>
      </c>
      <c r="D162" s="114" t="s">
        <v>229</v>
      </c>
      <c r="E162" s="100">
        <v>400</v>
      </c>
      <c r="F162" s="111">
        <v>0</v>
      </c>
      <c r="G162" s="111">
        <v>0</v>
      </c>
      <c r="H162" s="111">
        <v>0</v>
      </c>
    </row>
    <row r="163" spans="1:8" ht="45" x14ac:dyDescent="0.2">
      <c r="A163" s="70" t="s">
        <v>173</v>
      </c>
      <c r="B163" s="109" t="s">
        <v>248</v>
      </c>
      <c r="C163" s="109" t="s">
        <v>199</v>
      </c>
      <c r="D163" s="114" t="s">
        <v>229</v>
      </c>
      <c r="E163" s="100">
        <v>600</v>
      </c>
      <c r="F163" s="111">
        <f>7786105.08+100000+10458225.12-163397.45-524828.34+175000+40935</f>
        <v>17872039.41</v>
      </c>
      <c r="G163" s="111">
        <v>0</v>
      </c>
      <c r="H163" s="111">
        <v>0</v>
      </c>
    </row>
    <row r="164" spans="1:8" ht="15.75" x14ac:dyDescent="0.25">
      <c r="A164" s="79" t="s">
        <v>251</v>
      </c>
      <c r="B164" s="107" t="s">
        <v>248</v>
      </c>
      <c r="C164" s="107" t="s">
        <v>207</v>
      </c>
      <c r="D164" s="115"/>
      <c r="E164" s="103"/>
      <c r="F164" s="113">
        <f t="shared" ref="F164:H165" si="16">F165</f>
        <v>370000</v>
      </c>
      <c r="G164" s="113">
        <f t="shared" si="16"/>
        <v>0</v>
      </c>
      <c r="H164" s="113">
        <f t="shared" si="16"/>
        <v>0</v>
      </c>
    </row>
    <row r="165" spans="1:8" ht="15.75" x14ac:dyDescent="0.25">
      <c r="A165" s="82" t="s">
        <v>200</v>
      </c>
      <c r="B165" s="107" t="s">
        <v>248</v>
      </c>
      <c r="C165" s="107" t="s">
        <v>207</v>
      </c>
      <c r="D165" s="115" t="s">
        <v>201</v>
      </c>
      <c r="E165" s="103"/>
      <c r="F165" s="113">
        <f t="shared" si="16"/>
        <v>370000</v>
      </c>
      <c r="G165" s="113">
        <f t="shared" si="16"/>
        <v>0</v>
      </c>
      <c r="H165" s="113">
        <f t="shared" si="16"/>
        <v>0</v>
      </c>
    </row>
    <row r="166" spans="1:8" x14ac:dyDescent="0.2">
      <c r="A166" s="72" t="s">
        <v>220</v>
      </c>
      <c r="B166" s="109" t="s">
        <v>248</v>
      </c>
      <c r="C166" s="109" t="s">
        <v>207</v>
      </c>
      <c r="D166" s="114" t="s">
        <v>221</v>
      </c>
      <c r="E166" s="100"/>
      <c r="F166" s="111">
        <f>F169+F167</f>
        <v>370000</v>
      </c>
      <c r="G166" s="111">
        <f>G169+G167</f>
        <v>0</v>
      </c>
      <c r="H166" s="111">
        <f>H169+H167</f>
        <v>0</v>
      </c>
    </row>
    <row r="167" spans="1:8" ht="30" x14ac:dyDescent="0.2">
      <c r="A167" s="72" t="s">
        <v>673</v>
      </c>
      <c r="B167" s="109" t="s">
        <v>248</v>
      </c>
      <c r="C167" s="109" t="s">
        <v>207</v>
      </c>
      <c r="D167" s="114" t="s">
        <v>672</v>
      </c>
      <c r="E167" s="100"/>
      <c r="F167" s="111">
        <f>F168</f>
        <v>260000</v>
      </c>
      <c r="G167" s="111">
        <f>G168</f>
        <v>0</v>
      </c>
      <c r="H167" s="111">
        <f>H168</f>
        <v>0</v>
      </c>
    </row>
    <row r="168" spans="1:8" ht="30" x14ac:dyDescent="0.2">
      <c r="A168" s="72" t="s">
        <v>170</v>
      </c>
      <c r="B168" s="109" t="s">
        <v>248</v>
      </c>
      <c r="C168" s="109" t="s">
        <v>207</v>
      </c>
      <c r="D168" s="114" t="s">
        <v>672</v>
      </c>
      <c r="E168" s="100">
        <v>200</v>
      </c>
      <c r="F168" s="111">
        <v>260000</v>
      </c>
      <c r="G168" s="111">
        <v>0</v>
      </c>
      <c r="H168" s="111">
        <v>0</v>
      </c>
    </row>
    <row r="169" spans="1:8" ht="30" x14ac:dyDescent="0.2">
      <c r="A169" s="72" t="s">
        <v>228</v>
      </c>
      <c r="B169" s="109" t="s">
        <v>248</v>
      </c>
      <c r="C169" s="109" t="s">
        <v>207</v>
      </c>
      <c r="D169" s="114" t="s">
        <v>229</v>
      </c>
      <c r="E169" s="100"/>
      <c r="F169" s="111">
        <f>F170</f>
        <v>110000</v>
      </c>
      <c r="G169" s="111">
        <f>G170</f>
        <v>0</v>
      </c>
      <c r="H169" s="111">
        <f>H170</f>
        <v>0</v>
      </c>
    </row>
    <row r="170" spans="1:8" ht="30" x14ac:dyDescent="0.2">
      <c r="A170" s="72" t="s">
        <v>170</v>
      </c>
      <c r="B170" s="109" t="s">
        <v>248</v>
      </c>
      <c r="C170" s="109" t="s">
        <v>207</v>
      </c>
      <c r="D170" s="114" t="s">
        <v>229</v>
      </c>
      <c r="E170" s="100">
        <v>200</v>
      </c>
      <c r="F170" s="111">
        <f>40000+70000</f>
        <v>110000</v>
      </c>
      <c r="G170" s="111">
        <v>0</v>
      </c>
      <c r="H170" s="111">
        <v>0</v>
      </c>
    </row>
    <row r="171" spans="1:8" ht="15.75" x14ac:dyDescent="0.25">
      <c r="A171" s="79" t="s">
        <v>252</v>
      </c>
      <c r="B171" s="107" t="s">
        <v>248</v>
      </c>
      <c r="C171" s="107" t="s">
        <v>253</v>
      </c>
      <c r="D171" s="115"/>
      <c r="E171" s="103"/>
      <c r="F171" s="113">
        <f>F172</f>
        <v>1926566.66</v>
      </c>
      <c r="G171" s="113">
        <f t="shared" ref="G171:H173" si="17">G172</f>
        <v>0</v>
      </c>
      <c r="H171" s="113">
        <f t="shared" si="17"/>
        <v>0</v>
      </c>
    </row>
    <row r="172" spans="1:8" ht="15.75" x14ac:dyDescent="0.25">
      <c r="A172" s="82" t="s">
        <v>200</v>
      </c>
      <c r="B172" s="107" t="s">
        <v>248</v>
      </c>
      <c r="C172" s="107" t="s">
        <v>253</v>
      </c>
      <c r="D172" s="115" t="s">
        <v>201</v>
      </c>
      <c r="E172" s="103"/>
      <c r="F172" s="113">
        <f>F173</f>
        <v>1926566.66</v>
      </c>
      <c r="G172" s="113">
        <f t="shared" si="17"/>
        <v>0</v>
      </c>
      <c r="H172" s="113">
        <f t="shared" si="17"/>
        <v>0</v>
      </c>
    </row>
    <row r="173" spans="1:8" x14ac:dyDescent="0.2">
      <c r="A173" s="72" t="s">
        <v>220</v>
      </c>
      <c r="B173" s="109" t="s">
        <v>248</v>
      </c>
      <c r="C173" s="109" t="s">
        <v>253</v>
      </c>
      <c r="D173" s="114" t="s">
        <v>221</v>
      </c>
      <c r="E173" s="100"/>
      <c r="F173" s="111">
        <f>F174</f>
        <v>1926566.66</v>
      </c>
      <c r="G173" s="111">
        <f t="shared" si="17"/>
        <v>0</v>
      </c>
      <c r="H173" s="111">
        <f t="shared" si="17"/>
        <v>0</v>
      </c>
    </row>
    <row r="174" spans="1:8" ht="30" x14ac:dyDescent="0.2">
      <c r="A174" s="72" t="s">
        <v>228</v>
      </c>
      <c r="B174" s="109" t="s">
        <v>248</v>
      </c>
      <c r="C174" s="109" t="s">
        <v>253</v>
      </c>
      <c r="D174" s="114" t="s">
        <v>229</v>
      </c>
      <c r="E174" s="100"/>
      <c r="F174" s="111">
        <f>SUM(F175:F176)</f>
        <v>1926566.66</v>
      </c>
      <c r="G174" s="111">
        <f>SUM(G175:G176)</f>
        <v>0</v>
      </c>
      <c r="H174" s="111">
        <f>SUM(H175:H176)</f>
        <v>0</v>
      </c>
    </row>
    <row r="175" spans="1:8" ht="30" x14ac:dyDescent="0.2">
      <c r="A175" s="72" t="s">
        <v>170</v>
      </c>
      <c r="B175" s="109" t="s">
        <v>248</v>
      </c>
      <c r="C175" s="109" t="s">
        <v>253</v>
      </c>
      <c r="D175" s="114" t="s">
        <v>229</v>
      </c>
      <c r="E175" s="100">
        <v>200</v>
      </c>
      <c r="F175" s="111">
        <v>50000</v>
      </c>
      <c r="G175" s="111"/>
      <c r="H175" s="111"/>
    </row>
    <row r="176" spans="1:8" ht="45" x14ac:dyDescent="0.2">
      <c r="A176" s="70" t="s">
        <v>173</v>
      </c>
      <c r="B176" s="109" t="s">
        <v>248</v>
      </c>
      <c r="C176" s="109" t="s">
        <v>253</v>
      </c>
      <c r="D176" s="114" t="s">
        <v>229</v>
      </c>
      <c r="E176" s="100">
        <v>600</v>
      </c>
      <c r="F176" s="111">
        <f>370766.66+1505800</f>
        <v>1876566.66</v>
      </c>
      <c r="G176" s="111">
        <v>0</v>
      </c>
      <c r="H176" s="111">
        <v>0</v>
      </c>
    </row>
    <row r="177" spans="1:15" ht="15.75" x14ac:dyDescent="0.25">
      <c r="A177" s="79" t="s">
        <v>619</v>
      </c>
      <c r="B177" s="107" t="s">
        <v>255</v>
      </c>
      <c r="C177" s="107"/>
      <c r="D177" s="114"/>
      <c r="E177" s="100"/>
      <c r="F177" s="113">
        <f>F183+F178</f>
        <v>1171500</v>
      </c>
      <c r="G177" s="113">
        <f>G183+G178</f>
        <v>0</v>
      </c>
      <c r="H177" s="113">
        <f>H183+H178</f>
        <v>0</v>
      </c>
    </row>
    <row r="178" spans="1:15" ht="15.75" x14ac:dyDescent="0.25">
      <c r="A178" s="79" t="s">
        <v>256</v>
      </c>
      <c r="B178" s="107" t="s">
        <v>255</v>
      </c>
      <c r="C178" s="107" t="s">
        <v>197</v>
      </c>
      <c r="D178" s="114"/>
      <c r="E178" s="100"/>
      <c r="F178" s="113">
        <f t="shared" ref="F178:G181" si="18">F179</f>
        <v>869500</v>
      </c>
      <c r="G178" s="113">
        <f t="shared" si="18"/>
        <v>0</v>
      </c>
      <c r="H178" s="113">
        <f>H179</f>
        <v>0</v>
      </c>
    </row>
    <row r="179" spans="1:15" ht="15.75" x14ac:dyDescent="0.25">
      <c r="A179" s="82" t="s">
        <v>200</v>
      </c>
      <c r="B179" s="107" t="s">
        <v>255</v>
      </c>
      <c r="C179" s="107" t="s">
        <v>197</v>
      </c>
      <c r="D179" s="114" t="s">
        <v>201</v>
      </c>
      <c r="E179" s="100"/>
      <c r="F179" s="113">
        <f t="shared" si="18"/>
        <v>869500</v>
      </c>
      <c r="G179" s="113">
        <f t="shared" si="18"/>
        <v>0</v>
      </c>
      <c r="H179" s="113">
        <f>H180</f>
        <v>0</v>
      </c>
    </row>
    <row r="180" spans="1:15" x14ac:dyDescent="0.2">
      <c r="A180" s="72" t="s">
        <v>220</v>
      </c>
      <c r="B180" s="109" t="s">
        <v>255</v>
      </c>
      <c r="C180" s="109" t="s">
        <v>197</v>
      </c>
      <c r="D180" s="114" t="s">
        <v>221</v>
      </c>
      <c r="E180" s="100"/>
      <c r="F180" s="111">
        <f t="shared" si="18"/>
        <v>869500</v>
      </c>
      <c r="G180" s="111">
        <f t="shared" si="18"/>
        <v>0</v>
      </c>
      <c r="H180" s="111">
        <f>H181</f>
        <v>0</v>
      </c>
    </row>
    <row r="181" spans="1:15" ht="30" x14ac:dyDescent="0.2">
      <c r="A181" s="72" t="s">
        <v>673</v>
      </c>
      <c r="B181" s="109" t="s">
        <v>255</v>
      </c>
      <c r="C181" s="109" t="s">
        <v>197</v>
      </c>
      <c r="D181" s="114" t="s">
        <v>672</v>
      </c>
      <c r="E181" s="100"/>
      <c r="F181" s="111">
        <f t="shared" si="18"/>
        <v>869500</v>
      </c>
      <c r="G181" s="111">
        <f t="shared" si="18"/>
        <v>0</v>
      </c>
      <c r="H181" s="111">
        <f>H182</f>
        <v>0</v>
      </c>
    </row>
    <row r="182" spans="1:15" ht="30" x14ac:dyDescent="0.2">
      <c r="A182" s="72" t="s">
        <v>170</v>
      </c>
      <c r="B182" s="109" t="s">
        <v>255</v>
      </c>
      <c r="C182" s="109" t="s">
        <v>197</v>
      </c>
      <c r="D182" s="114" t="s">
        <v>672</v>
      </c>
      <c r="E182" s="100">
        <v>200</v>
      </c>
      <c r="F182" s="111">
        <v>869500</v>
      </c>
      <c r="G182" s="111">
        <v>0</v>
      </c>
      <c r="H182" s="111">
        <v>0</v>
      </c>
    </row>
    <row r="183" spans="1:15" ht="31.5" x14ac:dyDescent="0.25">
      <c r="A183" s="79" t="s">
        <v>292</v>
      </c>
      <c r="B183" s="107" t="s">
        <v>255</v>
      </c>
      <c r="C183" s="107" t="s">
        <v>211</v>
      </c>
      <c r="D183" s="114"/>
      <c r="E183" s="100"/>
      <c r="F183" s="113">
        <f>F184</f>
        <v>302000</v>
      </c>
      <c r="G183" s="113">
        <f t="shared" ref="G183:H186" si="19">G184</f>
        <v>0</v>
      </c>
      <c r="H183" s="113">
        <f t="shared" si="19"/>
        <v>0</v>
      </c>
    </row>
    <row r="184" spans="1:15" ht="15.75" x14ac:dyDescent="0.25">
      <c r="A184" s="82" t="s">
        <v>200</v>
      </c>
      <c r="B184" s="107" t="s">
        <v>255</v>
      </c>
      <c r="C184" s="107" t="s">
        <v>211</v>
      </c>
      <c r="D184" s="115" t="s">
        <v>201</v>
      </c>
      <c r="E184" s="103"/>
      <c r="F184" s="113">
        <f>F185</f>
        <v>302000</v>
      </c>
      <c r="G184" s="113">
        <f t="shared" si="19"/>
        <v>0</v>
      </c>
      <c r="H184" s="113">
        <f t="shared" si="19"/>
        <v>0</v>
      </c>
    </row>
    <row r="185" spans="1:15" x14ac:dyDescent="0.2">
      <c r="A185" s="72" t="s">
        <v>220</v>
      </c>
      <c r="B185" s="109" t="s">
        <v>255</v>
      </c>
      <c r="C185" s="109" t="s">
        <v>211</v>
      </c>
      <c r="D185" s="114" t="s">
        <v>221</v>
      </c>
      <c r="E185" s="100"/>
      <c r="F185" s="111">
        <f>F186</f>
        <v>302000</v>
      </c>
      <c r="G185" s="111">
        <f t="shared" si="19"/>
        <v>0</v>
      </c>
      <c r="H185" s="111">
        <f t="shared" si="19"/>
        <v>0</v>
      </c>
    </row>
    <row r="186" spans="1:15" ht="30" x14ac:dyDescent="0.2">
      <c r="A186" s="72" t="s">
        <v>673</v>
      </c>
      <c r="B186" s="109" t="s">
        <v>255</v>
      </c>
      <c r="C186" s="109" t="s">
        <v>211</v>
      </c>
      <c r="D186" s="114" t="s">
        <v>672</v>
      </c>
      <c r="E186" s="100"/>
      <c r="F186" s="111">
        <f>F187</f>
        <v>302000</v>
      </c>
      <c r="G186" s="111">
        <f t="shared" si="19"/>
        <v>0</v>
      </c>
      <c r="H186" s="111">
        <f t="shared" si="19"/>
        <v>0</v>
      </c>
    </row>
    <row r="187" spans="1:15" ht="30" x14ac:dyDescent="0.2">
      <c r="A187" s="72" t="s">
        <v>170</v>
      </c>
      <c r="B187" s="109" t="s">
        <v>255</v>
      </c>
      <c r="C187" s="109" t="s">
        <v>211</v>
      </c>
      <c r="D187" s="114" t="s">
        <v>672</v>
      </c>
      <c r="E187" s="100">
        <v>200</v>
      </c>
      <c r="F187" s="111">
        <f>150000+152000</f>
        <v>302000</v>
      </c>
      <c r="G187" s="111">
        <v>0</v>
      </c>
      <c r="H187" s="111">
        <v>0</v>
      </c>
    </row>
    <row r="188" spans="1:15" s="105" customFormat="1" ht="15.75" x14ac:dyDescent="0.25">
      <c r="A188" s="82" t="s">
        <v>259</v>
      </c>
      <c r="B188" s="107" t="s">
        <v>232</v>
      </c>
      <c r="C188" s="107"/>
      <c r="D188" s="107"/>
      <c r="E188" s="107"/>
      <c r="F188" s="108">
        <f>F189+F194+F201+F208</f>
        <v>48471216.320000008</v>
      </c>
      <c r="G188" s="108">
        <f>G189+G194+G201+G208</f>
        <v>34444252.960000001</v>
      </c>
      <c r="H188" s="108">
        <f>H189+H194+H201+H208</f>
        <v>64719934.619999997</v>
      </c>
      <c r="I188" s="106"/>
      <c r="J188" s="106"/>
      <c r="K188" s="106"/>
      <c r="L188" s="106"/>
      <c r="M188" s="106"/>
      <c r="N188" s="106"/>
      <c r="O188" s="106"/>
    </row>
    <row r="189" spans="1:15" s="105" customFormat="1" ht="15.75" x14ac:dyDescent="0.25">
      <c r="A189" s="82" t="s">
        <v>260</v>
      </c>
      <c r="B189" s="107" t="s">
        <v>232</v>
      </c>
      <c r="C189" s="107" t="s">
        <v>197</v>
      </c>
      <c r="D189" s="107"/>
      <c r="E189" s="107"/>
      <c r="F189" s="108">
        <f t="shared" ref="F189:H192" si="20">F190</f>
        <v>4236694.66</v>
      </c>
      <c r="G189" s="108">
        <f t="shared" si="20"/>
        <v>4008770</v>
      </c>
      <c r="H189" s="108">
        <f t="shared" si="20"/>
        <v>4008770</v>
      </c>
      <c r="I189" s="106"/>
      <c r="J189" s="106"/>
      <c r="K189" s="106"/>
      <c r="L189" s="106"/>
      <c r="M189" s="106"/>
      <c r="N189" s="106"/>
      <c r="O189" s="106"/>
    </row>
    <row r="190" spans="1:15" s="105" customFormat="1" ht="15.75" x14ac:dyDescent="0.25">
      <c r="A190" s="82" t="s">
        <v>200</v>
      </c>
      <c r="B190" s="107" t="s">
        <v>232</v>
      </c>
      <c r="C190" s="107" t="s">
        <v>197</v>
      </c>
      <c r="D190" s="107" t="s">
        <v>201</v>
      </c>
      <c r="E190" s="107"/>
      <c r="F190" s="108">
        <f t="shared" si="20"/>
        <v>4236694.66</v>
      </c>
      <c r="G190" s="108">
        <f t="shared" si="20"/>
        <v>4008770</v>
      </c>
      <c r="H190" s="108">
        <f t="shared" si="20"/>
        <v>4008770</v>
      </c>
      <c r="I190" s="106"/>
      <c r="J190" s="106"/>
      <c r="K190" s="106"/>
      <c r="L190" s="106"/>
      <c r="M190" s="106"/>
      <c r="N190" s="106"/>
      <c r="O190" s="106"/>
    </row>
    <row r="191" spans="1:15" x14ac:dyDescent="0.2">
      <c r="A191" s="72" t="s">
        <v>220</v>
      </c>
      <c r="B191" s="109" t="s">
        <v>232</v>
      </c>
      <c r="C191" s="109" t="s">
        <v>197</v>
      </c>
      <c r="D191" s="109" t="s">
        <v>221</v>
      </c>
      <c r="E191" s="109"/>
      <c r="F191" s="110">
        <f t="shared" si="20"/>
        <v>4236694.66</v>
      </c>
      <c r="G191" s="110">
        <f t="shared" si="20"/>
        <v>4008770</v>
      </c>
      <c r="H191" s="110">
        <f t="shared" si="20"/>
        <v>4008770</v>
      </c>
    </row>
    <row r="192" spans="1:15" ht="60" x14ac:dyDescent="0.2">
      <c r="A192" s="116" t="s">
        <v>429</v>
      </c>
      <c r="B192" s="109" t="s">
        <v>232</v>
      </c>
      <c r="C192" s="109" t="s">
        <v>197</v>
      </c>
      <c r="D192" s="109" t="s">
        <v>430</v>
      </c>
      <c r="E192" s="109"/>
      <c r="F192" s="110">
        <f t="shared" si="20"/>
        <v>4236694.66</v>
      </c>
      <c r="G192" s="110">
        <f t="shared" si="20"/>
        <v>4008770</v>
      </c>
      <c r="H192" s="110">
        <f t="shared" si="20"/>
        <v>4008770</v>
      </c>
    </row>
    <row r="193" spans="1:15" ht="30" x14ac:dyDescent="0.2">
      <c r="A193" s="72" t="s">
        <v>171</v>
      </c>
      <c r="B193" s="109" t="s">
        <v>232</v>
      </c>
      <c r="C193" s="109" t="s">
        <v>197</v>
      </c>
      <c r="D193" s="109" t="s">
        <v>430</v>
      </c>
      <c r="E193" s="109" t="s">
        <v>183</v>
      </c>
      <c r="F193" s="111">
        <f>4008770+227924.66</f>
        <v>4236694.66</v>
      </c>
      <c r="G193" s="111">
        <v>4008770</v>
      </c>
      <c r="H193" s="111">
        <v>4008770</v>
      </c>
    </row>
    <row r="194" spans="1:15" ht="15.75" x14ac:dyDescent="0.25">
      <c r="A194" s="82" t="s">
        <v>261</v>
      </c>
      <c r="B194" s="107" t="s">
        <v>232</v>
      </c>
      <c r="C194" s="107" t="s">
        <v>207</v>
      </c>
      <c r="D194" s="107"/>
      <c r="E194" s="107"/>
      <c r="F194" s="108">
        <f t="shared" ref="F194:H197" si="21">F195</f>
        <v>11075871.770000003</v>
      </c>
      <c r="G194" s="108">
        <f t="shared" si="21"/>
        <v>11891638.02</v>
      </c>
      <c r="H194" s="108">
        <f t="shared" si="21"/>
        <v>42167319.68</v>
      </c>
    </row>
    <row r="195" spans="1:15" ht="15.75" x14ac:dyDescent="0.25">
      <c r="A195" s="82" t="s">
        <v>200</v>
      </c>
      <c r="B195" s="107" t="s">
        <v>232</v>
      </c>
      <c r="C195" s="107" t="s">
        <v>207</v>
      </c>
      <c r="D195" s="107" t="s">
        <v>201</v>
      </c>
      <c r="E195" s="107"/>
      <c r="F195" s="108">
        <f t="shared" si="21"/>
        <v>11075871.770000003</v>
      </c>
      <c r="G195" s="108">
        <f t="shared" si="21"/>
        <v>11891638.02</v>
      </c>
      <c r="H195" s="108">
        <f t="shared" si="21"/>
        <v>42167319.68</v>
      </c>
    </row>
    <row r="196" spans="1:15" x14ac:dyDescent="0.2">
      <c r="A196" s="72" t="s">
        <v>220</v>
      </c>
      <c r="B196" s="109" t="s">
        <v>232</v>
      </c>
      <c r="C196" s="109" t="s">
        <v>207</v>
      </c>
      <c r="D196" s="109" t="s">
        <v>221</v>
      </c>
      <c r="E196" s="109"/>
      <c r="F196" s="110">
        <f>F197+F199</f>
        <v>11075871.770000003</v>
      </c>
      <c r="G196" s="110">
        <f>G197+G199</f>
        <v>11891638.02</v>
      </c>
      <c r="H196" s="110">
        <f>H197+H199</f>
        <v>42167319.68</v>
      </c>
    </row>
    <row r="197" spans="1:15" ht="30" x14ac:dyDescent="0.2">
      <c r="A197" s="72" t="s">
        <v>262</v>
      </c>
      <c r="B197" s="109" t="s">
        <v>232</v>
      </c>
      <c r="C197" s="109" t="s">
        <v>207</v>
      </c>
      <c r="D197" s="109" t="s">
        <v>263</v>
      </c>
      <c r="E197" s="109"/>
      <c r="F197" s="110">
        <f>F198</f>
        <v>11075871.770000003</v>
      </c>
      <c r="G197" s="110">
        <f t="shared" si="21"/>
        <v>11891638.02</v>
      </c>
      <c r="H197" s="110">
        <f t="shared" si="21"/>
        <v>42167319.68</v>
      </c>
    </row>
    <row r="198" spans="1:15" ht="30" x14ac:dyDescent="0.2">
      <c r="A198" s="72" t="s">
        <v>175</v>
      </c>
      <c r="B198" s="109" t="s">
        <v>232</v>
      </c>
      <c r="C198" s="109" t="s">
        <v>207</v>
      </c>
      <c r="D198" s="109" t="s">
        <v>263</v>
      </c>
      <c r="E198" s="109" t="s">
        <v>185</v>
      </c>
      <c r="F198" s="111">
        <f>42167319.68+828473.45-1400749-346000-25173172.36-5000000</f>
        <v>11075871.770000003</v>
      </c>
      <c r="G198" s="111">
        <f>42167319.68-30275681.66</f>
        <v>11891638.02</v>
      </c>
      <c r="H198" s="111">
        <v>42167319.68</v>
      </c>
    </row>
    <row r="199" spans="1:15" ht="30" hidden="1" x14ac:dyDescent="0.2">
      <c r="A199" s="72" t="s">
        <v>228</v>
      </c>
      <c r="B199" s="109" t="s">
        <v>232</v>
      </c>
      <c r="C199" s="109" t="s">
        <v>207</v>
      </c>
      <c r="D199" s="114" t="s">
        <v>229</v>
      </c>
      <c r="E199" s="100"/>
      <c r="F199" s="111">
        <f>F200</f>
        <v>0</v>
      </c>
      <c r="G199" s="111">
        <f>G200</f>
        <v>0</v>
      </c>
      <c r="H199" s="111">
        <f>H200</f>
        <v>0</v>
      </c>
    </row>
    <row r="200" spans="1:15" ht="30" hidden="1" x14ac:dyDescent="0.2">
      <c r="A200" s="72" t="s">
        <v>170</v>
      </c>
      <c r="B200" s="109" t="s">
        <v>232</v>
      </c>
      <c r="C200" s="109" t="s">
        <v>207</v>
      </c>
      <c r="D200" s="114" t="s">
        <v>229</v>
      </c>
      <c r="E200" s="100">
        <v>200</v>
      </c>
      <c r="F200" s="111">
        <v>0</v>
      </c>
      <c r="G200" s="111">
        <v>0</v>
      </c>
      <c r="H200" s="111">
        <v>0</v>
      </c>
    </row>
    <row r="201" spans="1:15" ht="15.75" x14ac:dyDescent="0.25">
      <c r="A201" s="82" t="s">
        <v>264</v>
      </c>
      <c r="B201" s="107" t="s">
        <v>232</v>
      </c>
      <c r="C201" s="107" t="s">
        <v>211</v>
      </c>
      <c r="D201" s="107"/>
      <c r="E201" s="107"/>
      <c r="F201" s="108">
        <f t="shared" ref="F201:H203" si="22">F202</f>
        <v>16165600</v>
      </c>
      <c r="G201" s="108">
        <f t="shared" si="22"/>
        <v>13500000</v>
      </c>
      <c r="H201" s="108">
        <f t="shared" si="22"/>
        <v>13500000</v>
      </c>
    </row>
    <row r="202" spans="1:15" ht="15.75" x14ac:dyDescent="0.25">
      <c r="A202" s="82" t="s">
        <v>200</v>
      </c>
      <c r="B202" s="107" t="s">
        <v>232</v>
      </c>
      <c r="C202" s="107" t="s">
        <v>211</v>
      </c>
      <c r="D202" s="107" t="s">
        <v>201</v>
      </c>
      <c r="E202" s="107"/>
      <c r="F202" s="108">
        <f t="shared" si="22"/>
        <v>16165600</v>
      </c>
      <c r="G202" s="108">
        <f t="shared" si="22"/>
        <v>13500000</v>
      </c>
      <c r="H202" s="108">
        <f t="shared" si="22"/>
        <v>13500000</v>
      </c>
    </row>
    <row r="203" spans="1:15" x14ac:dyDescent="0.2">
      <c r="A203" s="72" t="s">
        <v>220</v>
      </c>
      <c r="B203" s="109" t="s">
        <v>232</v>
      </c>
      <c r="C203" s="109" t="s">
        <v>211</v>
      </c>
      <c r="D203" s="109" t="s">
        <v>221</v>
      </c>
      <c r="E203" s="109"/>
      <c r="F203" s="110">
        <f>F204</f>
        <v>16165600</v>
      </c>
      <c r="G203" s="110">
        <f t="shared" si="22"/>
        <v>13500000</v>
      </c>
      <c r="H203" s="110">
        <f t="shared" si="22"/>
        <v>13500000</v>
      </c>
    </row>
    <row r="204" spans="1:15" ht="30" x14ac:dyDescent="0.2">
      <c r="A204" s="72" t="s">
        <v>262</v>
      </c>
      <c r="B204" s="109" t="s">
        <v>232</v>
      </c>
      <c r="C204" s="109" t="s">
        <v>211</v>
      </c>
      <c r="D204" s="109" t="s">
        <v>263</v>
      </c>
      <c r="E204" s="109"/>
      <c r="F204" s="110">
        <f>SUM(F205:F207)</f>
        <v>16165600</v>
      </c>
      <c r="G204" s="110">
        <f>SUM(G205:G207)</f>
        <v>13500000</v>
      </c>
      <c r="H204" s="110">
        <f>SUM(H205:H207)</f>
        <v>13500000</v>
      </c>
    </row>
    <row r="205" spans="1:15" ht="30" x14ac:dyDescent="0.2">
      <c r="A205" s="72" t="s">
        <v>170</v>
      </c>
      <c r="B205" s="109" t="s">
        <v>232</v>
      </c>
      <c r="C205" s="109" t="s">
        <v>211</v>
      </c>
      <c r="D205" s="109" t="s">
        <v>263</v>
      </c>
      <c r="E205" s="109" t="s">
        <v>181</v>
      </c>
      <c r="F205" s="309">
        <v>197734</v>
      </c>
      <c r="G205" s="309">
        <v>197734</v>
      </c>
      <c r="H205" s="309">
        <v>197734</v>
      </c>
    </row>
    <row r="206" spans="1:15" ht="30" x14ac:dyDescent="0.2">
      <c r="A206" s="72" t="s">
        <v>171</v>
      </c>
      <c r="B206" s="109" t="s">
        <v>232</v>
      </c>
      <c r="C206" s="109" t="s">
        <v>211</v>
      </c>
      <c r="D206" s="109" t="s">
        <v>263</v>
      </c>
      <c r="E206" s="109" t="s">
        <v>183</v>
      </c>
      <c r="F206" s="309">
        <v>13302266</v>
      </c>
      <c r="G206" s="309">
        <v>13302266</v>
      </c>
      <c r="H206" s="309">
        <v>13302266</v>
      </c>
    </row>
    <row r="207" spans="1:15" ht="30" x14ac:dyDescent="0.2">
      <c r="A207" s="72" t="s">
        <v>175</v>
      </c>
      <c r="B207" s="109" t="s">
        <v>232</v>
      </c>
      <c r="C207" s="109" t="s">
        <v>211</v>
      </c>
      <c r="D207" s="109" t="s">
        <v>263</v>
      </c>
      <c r="E207" s="109" t="s">
        <v>185</v>
      </c>
      <c r="F207" s="309">
        <v>2665600</v>
      </c>
      <c r="G207" s="314">
        <v>0</v>
      </c>
      <c r="H207" s="314">
        <v>0</v>
      </c>
    </row>
    <row r="208" spans="1:15" s="105" customFormat="1" ht="31.5" x14ac:dyDescent="0.25">
      <c r="A208" s="82" t="s">
        <v>265</v>
      </c>
      <c r="B208" s="107" t="s">
        <v>232</v>
      </c>
      <c r="C208" s="107" t="s">
        <v>215</v>
      </c>
      <c r="D208" s="107"/>
      <c r="E208" s="107"/>
      <c r="F208" s="108">
        <f>F209</f>
        <v>16993049.890000001</v>
      </c>
      <c r="G208" s="108">
        <f>G209</f>
        <v>5043844.9399999995</v>
      </c>
      <c r="H208" s="108">
        <f>H209</f>
        <v>5043844.9399999995</v>
      </c>
      <c r="I208" s="106"/>
      <c r="J208" s="106"/>
      <c r="K208" s="106"/>
      <c r="L208" s="106"/>
      <c r="M208" s="106"/>
      <c r="N208" s="106"/>
      <c r="O208" s="106"/>
    </row>
    <row r="209" spans="1:15" s="105" customFormat="1" ht="15.75" x14ac:dyDescent="0.25">
      <c r="A209" s="82" t="s">
        <v>200</v>
      </c>
      <c r="B209" s="107" t="s">
        <v>232</v>
      </c>
      <c r="C209" s="107" t="s">
        <v>215</v>
      </c>
      <c r="D209" s="107" t="s">
        <v>201</v>
      </c>
      <c r="E209" s="107"/>
      <c r="F209" s="108">
        <f>F210+F213</f>
        <v>16993049.890000001</v>
      </c>
      <c r="G209" s="108">
        <f>G210+G213</f>
        <v>5043844.9399999995</v>
      </c>
      <c r="H209" s="108">
        <f>H210+H213</f>
        <v>5043844.9399999995</v>
      </c>
      <c r="I209" s="106"/>
      <c r="J209" s="106"/>
      <c r="K209" s="106"/>
      <c r="L209" s="106"/>
      <c r="M209" s="106"/>
      <c r="N209" s="106"/>
      <c r="O209" s="106"/>
    </row>
    <row r="210" spans="1:15" s="105" customFormat="1" ht="30.75" x14ac:dyDescent="0.25">
      <c r="A210" s="72" t="s">
        <v>202</v>
      </c>
      <c r="B210" s="109" t="s">
        <v>232</v>
      </c>
      <c r="C210" s="109" t="s">
        <v>215</v>
      </c>
      <c r="D210" s="109" t="s">
        <v>203</v>
      </c>
      <c r="E210" s="109"/>
      <c r="F210" s="110">
        <f t="shared" ref="F210:H211" si="23">F211</f>
        <v>3630536.94</v>
      </c>
      <c r="G210" s="110">
        <f t="shared" si="23"/>
        <v>3630536.94</v>
      </c>
      <c r="H210" s="110">
        <f t="shared" si="23"/>
        <v>3630536.94</v>
      </c>
      <c r="I210" s="106"/>
      <c r="J210" s="106"/>
      <c r="K210" s="106"/>
      <c r="L210" s="106"/>
      <c r="M210" s="106"/>
      <c r="N210" s="106"/>
      <c r="O210" s="106"/>
    </row>
    <row r="211" spans="1:15" s="105" customFormat="1" ht="30.75" x14ac:dyDescent="0.25">
      <c r="A211" s="72" t="s">
        <v>212</v>
      </c>
      <c r="B211" s="109" t="s">
        <v>232</v>
      </c>
      <c r="C211" s="109" t="s">
        <v>215</v>
      </c>
      <c r="D211" s="109" t="s">
        <v>213</v>
      </c>
      <c r="E211" s="109"/>
      <c r="F211" s="110">
        <f t="shared" si="23"/>
        <v>3630536.94</v>
      </c>
      <c r="G211" s="110">
        <f t="shared" si="23"/>
        <v>3630536.94</v>
      </c>
      <c r="H211" s="110">
        <f t="shared" si="23"/>
        <v>3630536.94</v>
      </c>
      <c r="I211" s="106"/>
      <c r="J211" s="106"/>
      <c r="K211" s="106"/>
      <c r="L211" s="106"/>
      <c r="M211" s="106"/>
      <c r="N211" s="106"/>
      <c r="O211" s="106"/>
    </row>
    <row r="212" spans="1:15" s="105" customFormat="1" ht="75.75" x14ac:dyDescent="0.25">
      <c r="A212" s="72" t="s">
        <v>169</v>
      </c>
      <c r="B212" s="109" t="s">
        <v>232</v>
      </c>
      <c r="C212" s="109" t="s">
        <v>215</v>
      </c>
      <c r="D212" s="109" t="s">
        <v>213</v>
      </c>
      <c r="E212" s="109" t="s">
        <v>178</v>
      </c>
      <c r="F212" s="110">
        <f>3630536.94</f>
        <v>3630536.94</v>
      </c>
      <c r="G212" s="110">
        <v>3630536.94</v>
      </c>
      <c r="H212" s="110">
        <v>3630536.94</v>
      </c>
      <c r="I212" s="106"/>
      <c r="J212" s="106"/>
      <c r="K212" s="106"/>
      <c r="L212" s="106"/>
      <c r="M212" s="106"/>
      <c r="N212" s="106"/>
      <c r="O212" s="106"/>
    </row>
    <row r="213" spans="1:15" x14ac:dyDescent="0.2">
      <c r="A213" s="72" t="s">
        <v>220</v>
      </c>
      <c r="B213" s="109" t="s">
        <v>232</v>
      </c>
      <c r="C213" s="109" t="s">
        <v>215</v>
      </c>
      <c r="D213" s="109" t="s">
        <v>221</v>
      </c>
      <c r="E213" s="109"/>
      <c r="F213" s="110">
        <f>F216+F214</f>
        <v>13362512.949999999</v>
      </c>
      <c r="G213" s="110">
        <f>G216+G214</f>
        <v>1413308</v>
      </c>
      <c r="H213" s="110">
        <f>H216+H214</f>
        <v>1413308</v>
      </c>
    </row>
    <row r="214" spans="1:15" ht="30" x14ac:dyDescent="0.2">
      <c r="A214" s="72" t="s">
        <v>262</v>
      </c>
      <c r="B214" s="109" t="s">
        <v>232</v>
      </c>
      <c r="C214" s="109" t="s">
        <v>215</v>
      </c>
      <c r="D214" s="109" t="s">
        <v>263</v>
      </c>
      <c r="E214" s="109"/>
      <c r="F214" s="110">
        <f>F215</f>
        <v>11949204.949999999</v>
      </c>
      <c r="G214" s="110">
        <f>G215</f>
        <v>0</v>
      </c>
      <c r="H214" s="110">
        <f>H215</f>
        <v>0</v>
      </c>
    </row>
    <row r="215" spans="1:15" ht="30" x14ac:dyDescent="0.2">
      <c r="A215" s="72" t="s">
        <v>171</v>
      </c>
      <c r="B215" s="109" t="s">
        <v>232</v>
      </c>
      <c r="C215" s="109" t="s">
        <v>215</v>
      </c>
      <c r="D215" s="109" t="s">
        <v>263</v>
      </c>
      <c r="E215" s="109" t="s">
        <v>183</v>
      </c>
      <c r="F215" s="110">
        <f>7444830+4504374.95</f>
        <v>11949204.949999999</v>
      </c>
      <c r="G215" s="110">
        <v>0</v>
      </c>
      <c r="H215" s="110">
        <v>0</v>
      </c>
    </row>
    <row r="216" spans="1:15" ht="30" x14ac:dyDescent="0.2">
      <c r="A216" s="72" t="s">
        <v>431</v>
      </c>
      <c r="B216" s="109" t="s">
        <v>232</v>
      </c>
      <c r="C216" s="109" t="s">
        <v>215</v>
      </c>
      <c r="D216" s="109" t="s">
        <v>432</v>
      </c>
      <c r="E216" s="109"/>
      <c r="F216" s="110">
        <f>F217+F218</f>
        <v>1413308</v>
      </c>
      <c r="G216" s="110">
        <f>G217+G218</f>
        <v>1413308</v>
      </c>
      <c r="H216" s="110">
        <f>H217+H218</f>
        <v>1413308</v>
      </c>
    </row>
    <row r="217" spans="1:15" ht="30" hidden="1" x14ac:dyDescent="0.2">
      <c r="A217" s="72" t="s">
        <v>170</v>
      </c>
      <c r="B217" s="109" t="s">
        <v>232</v>
      </c>
      <c r="C217" s="109" t="s">
        <v>215</v>
      </c>
      <c r="D217" s="109" t="s">
        <v>263</v>
      </c>
      <c r="E217" s="109" t="s">
        <v>181</v>
      </c>
      <c r="F217" s="111"/>
      <c r="G217" s="111"/>
      <c r="H217" s="111"/>
      <c r="I217" s="269"/>
    </row>
    <row r="218" spans="1:15" ht="30" x14ac:dyDescent="0.2">
      <c r="A218" s="72" t="s">
        <v>171</v>
      </c>
      <c r="B218" s="109" t="s">
        <v>232</v>
      </c>
      <c r="C218" s="109" t="s">
        <v>215</v>
      </c>
      <c r="D218" s="109" t="s">
        <v>432</v>
      </c>
      <c r="E218" s="109" t="s">
        <v>183</v>
      </c>
      <c r="F218" s="111">
        <v>1413308</v>
      </c>
      <c r="G218" s="111">
        <v>1413308</v>
      </c>
      <c r="H218" s="111">
        <v>1413308</v>
      </c>
      <c r="I218" s="269"/>
    </row>
    <row r="219" spans="1:15" ht="15.75" x14ac:dyDescent="0.25">
      <c r="A219" s="82" t="s">
        <v>266</v>
      </c>
      <c r="B219" s="107" t="s">
        <v>219</v>
      </c>
      <c r="C219" s="107"/>
      <c r="D219" s="107"/>
      <c r="E219" s="117"/>
      <c r="F219" s="113">
        <f>F220</f>
        <v>3460637.6699999981</v>
      </c>
      <c r="G219" s="113">
        <f t="shared" ref="G219:H221" si="24">G220</f>
        <v>0</v>
      </c>
      <c r="H219" s="113">
        <f t="shared" si="24"/>
        <v>0</v>
      </c>
    </row>
    <row r="220" spans="1:15" ht="15.75" x14ac:dyDescent="0.25">
      <c r="A220" s="82" t="s">
        <v>267</v>
      </c>
      <c r="B220" s="107" t="s">
        <v>219</v>
      </c>
      <c r="C220" s="107" t="s">
        <v>197</v>
      </c>
      <c r="D220" s="107"/>
      <c r="E220" s="117"/>
      <c r="F220" s="113">
        <f>F221</f>
        <v>3460637.6699999981</v>
      </c>
      <c r="G220" s="113">
        <f t="shared" si="24"/>
        <v>0</v>
      </c>
      <c r="H220" s="113">
        <f t="shared" si="24"/>
        <v>0</v>
      </c>
    </row>
    <row r="221" spans="1:15" ht="15.75" x14ac:dyDescent="0.25">
      <c r="A221" s="82" t="s">
        <v>200</v>
      </c>
      <c r="B221" s="107" t="s">
        <v>219</v>
      </c>
      <c r="C221" s="107" t="s">
        <v>197</v>
      </c>
      <c r="D221" s="118" t="s">
        <v>201</v>
      </c>
      <c r="E221" s="117"/>
      <c r="F221" s="113">
        <f>F222</f>
        <v>3460637.6699999981</v>
      </c>
      <c r="G221" s="113">
        <f t="shared" si="24"/>
        <v>0</v>
      </c>
      <c r="H221" s="113">
        <f t="shared" si="24"/>
        <v>0</v>
      </c>
    </row>
    <row r="222" spans="1:15" x14ac:dyDescent="0.2">
      <c r="A222" s="72" t="s">
        <v>220</v>
      </c>
      <c r="B222" s="109" t="s">
        <v>219</v>
      </c>
      <c r="C222" s="109" t="s">
        <v>197</v>
      </c>
      <c r="D222" s="109" t="s">
        <v>221</v>
      </c>
      <c r="E222" s="119"/>
      <c r="F222" s="111">
        <f>F223+F227</f>
        <v>3460637.6699999981</v>
      </c>
      <c r="G222" s="111">
        <f>G223+G227</f>
        <v>0</v>
      </c>
      <c r="H222" s="111">
        <f>H223+H227</f>
        <v>0</v>
      </c>
    </row>
    <row r="223" spans="1:15" x14ac:dyDescent="0.2">
      <c r="A223" s="72" t="s">
        <v>268</v>
      </c>
      <c r="B223" s="109" t="s">
        <v>219</v>
      </c>
      <c r="C223" s="109" t="s">
        <v>197</v>
      </c>
      <c r="D223" s="109" t="s">
        <v>269</v>
      </c>
      <c r="E223" s="119"/>
      <c r="F223" s="111">
        <f>F226+F224+F225</f>
        <v>3460637.6699999981</v>
      </c>
      <c r="G223" s="111">
        <f>G226+G224+G225</f>
        <v>0</v>
      </c>
      <c r="H223" s="111">
        <f>H226+H224+H225</f>
        <v>0</v>
      </c>
    </row>
    <row r="224" spans="1:15" ht="30" x14ac:dyDescent="0.2">
      <c r="A224" s="72" t="s">
        <v>170</v>
      </c>
      <c r="B224" s="109" t="s">
        <v>219</v>
      </c>
      <c r="C224" s="109" t="s">
        <v>197</v>
      </c>
      <c r="D224" s="109" t="s">
        <v>269</v>
      </c>
      <c r="E224" s="119" t="s">
        <v>181</v>
      </c>
      <c r="F224" s="111">
        <f>21704771+9302035.76+1529041.67+1698596+133000-31006806.76</f>
        <v>3360637.6699999981</v>
      </c>
      <c r="G224" s="111">
        <v>0</v>
      </c>
      <c r="H224" s="111">
        <v>0</v>
      </c>
    </row>
    <row r="225" spans="1:8" ht="30" x14ac:dyDescent="0.2">
      <c r="A225" s="72" t="s">
        <v>171</v>
      </c>
      <c r="B225" s="109" t="s">
        <v>219</v>
      </c>
      <c r="C225" s="109" t="s">
        <v>197</v>
      </c>
      <c r="D225" s="109" t="s">
        <v>269</v>
      </c>
      <c r="E225" s="119" t="s">
        <v>183</v>
      </c>
      <c r="F225" s="111">
        <v>100000</v>
      </c>
      <c r="G225" s="111">
        <v>0</v>
      </c>
      <c r="H225" s="111">
        <v>0</v>
      </c>
    </row>
    <row r="226" spans="1:8" ht="30" hidden="1" x14ac:dyDescent="0.2">
      <c r="A226" s="72" t="s">
        <v>175</v>
      </c>
      <c r="B226" s="109" t="s">
        <v>219</v>
      </c>
      <c r="C226" s="109" t="s">
        <v>197</v>
      </c>
      <c r="D226" s="109" t="s">
        <v>269</v>
      </c>
      <c r="E226" s="119" t="s">
        <v>185</v>
      </c>
      <c r="F226" s="111">
        <v>0</v>
      </c>
      <c r="G226" s="111">
        <v>0</v>
      </c>
      <c r="H226" s="111">
        <v>0</v>
      </c>
    </row>
    <row r="227" spans="1:8" ht="30" hidden="1" x14ac:dyDescent="0.2">
      <c r="A227" s="72" t="s">
        <v>228</v>
      </c>
      <c r="B227" s="109" t="s">
        <v>219</v>
      </c>
      <c r="C227" s="109" t="s">
        <v>197</v>
      </c>
      <c r="D227" s="109" t="s">
        <v>229</v>
      </c>
      <c r="E227" s="119"/>
      <c r="F227" s="111">
        <f>F228</f>
        <v>0</v>
      </c>
      <c r="G227" s="111">
        <f>G228</f>
        <v>0</v>
      </c>
      <c r="H227" s="111">
        <f>H228</f>
        <v>0</v>
      </c>
    </row>
    <row r="228" spans="1:8" ht="30" hidden="1" x14ac:dyDescent="0.2">
      <c r="A228" s="72" t="s">
        <v>170</v>
      </c>
      <c r="B228" s="109" t="s">
        <v>219</v>
      </c>
      <c r="C228" s="109" t="s">
        <v>197</v>
      </c>
      <c r="D228" s="109" t="s">
        <v>229</v>
      </c>
      <c r="E228" s="119" t="s">
        <v>181</v>
      </c>
      <c r="F228" s="111">
        <f>21704771-21704771</f>
        <v>0</v>
      </c>
      <c r="G228" s="111">
        <v>0</v>
      </c>
      <c r="H228" s="111"/>
    </row>
    <row r="229" spans="1:8" ht="63" x14ac:dyDescent="0.25">
      <c r="A229" s="120" t="s">
        <v>270</v>
      </c>
      <c r="B229" s="118" t="s">
        <v>271</v>
      </c>
      <c r="C229" s="118"/>
      <c r="D229" s="118"/>
      <c r="E229" s="121"/>
      <c r="F229" s="122">
        <f t="shared" ref="F229:H232" si="25">F230</f>
        <v>449589488.68000001</v>
      </c>
      <c r="G229" s="122">
        <f t="shared" si="25"/>
        <v>11741386.74</v>
      </c>
      <c r="H229" s="122">
        <f t="shared" si="25"/>
        <v>0</v>
      </c>
    </row>
    <row r="230" spans="1:8" ht="31.5" x14ac:dyDescent="0.25">
      <c r="A230" s="123" t="s">
        <v>272</v>
      </c>
      <c r="B230" s="118" t="s">
        <v>271</v>
      </c>
      <c r="C230" s="118" t="s">
        <v>207</v>
      </c>
      <c r="D230" s="118"/>
      <c r="E230" s="118"/>
      <c r="F230" s="122">
        <f t="shared" si="25"/>
        <v>449589488.68000001</v>
      </c>
      <c r="G230" s="122">
        <f t="shared" si="25"/>
        <v>11741386.74</v>
      </c>
      <c r="H230" s="122">
        <f t="shared" si="25"/>
        <v>0</v>
      </c>
    </row>
    <row r="231" spans="1:8" ht="15.75" x14ac:dyDescent="0.25">
      <c r="A231" s="82" t="s">
        <v>200</v>
      </c>
      <c r="B231" s="118" t="s">
        <v>271</v>
      </c>
      <c r="C231" s="118" t="s">
        <v>207</v>
      </c>
      <c r="D231" s="118" t="s">
        <v>201</v>
      </c>
      <c r="E231" s="118"/>
      <c r="F231" s="122">
        <f t="shared" si="25"/>
        <v>449589488.68000001</v>
      </c>
      <c r="G231" s="122">
        <f t="shared" si="25"/>
        <v>11741386.74</v>
      </c>
      <c r="H231" s="122">
        <f t="shared" si="25"/>
        <v>0</v>
      </c>
    </row>
    <row r="232" spans="1:8" x14ac:dyDescent="0.2">
      <c r="A232" s="72" t="s">
        <v>273</v>
      </c>
      <c r="B232" s="124" t="s">
        <v>271</v>
      </c>
      <c r="C232" s="124" t="s">
        <v>207</v>
      </c>
      <c r="D232" s="124" t="s">
        <v>274</v>
      </c>
      <c r="E232" s="124"/>
      <c r="F232" s="31">
        <f>F233+F235</f>
        <v>449589488.68000001</v>
      </c>
      <c r="G232" s="31">
        <f>G233+G235</f>
        <v>11741386.74</v>
      </c>
      <c r="H232" s="31">
        <f t="shared" si="25"/>
        <v>0</v>
      </c>
    </row>
    <row r="233" spans="1:8" ht="30" x14ac:dyDescent="0.2">
      <c r="A233" s="125" t="s">
        <v>275</v>
      </c>
      <c r="B233" s="124" t="s">
        <v>271</v>
      </c>
      <c r="C233" s="124" t="s">
        <v>207</v>
      </c>
      <c r="D233" s="124" t="s">
        <v>276</v>
      </c>
      <c r="E233" s="124"/>
      <c r="F233" s="31">
        <f>F234</f>
        <v>210945000</v>
      </c>
      <c r="G233" s="31">
        <f>G234</f>
        <v>0</v>
      </c>
      <c r="H233" s="31">
        <f>H234</f>
        <v>0</v>
      </c>
    </row>
    <row r="234" spans="1:8" x14ac:dyDescent="0.2">
      <c r="A234" s="125" t="s">
        <v>273</v>
      </c>
      <c r="B234" s="124" t="s">
        <v>271</v>
      </c>
      <c r="C234" s="124" t="s">
        <v>207</v>
      </c>
      <c r="D234" s="124" t="s">
        <v>276</v>
      </c>
      <c r="E234" s="124" t="s">
        <v>277</v>
      </c>
      <c r="F234" s="31">
        <v>210945000</v>
      </c>
      <c r="G234" s="111">
        <v>0</v>
      </c>
      <c r="H234" s="111">
        <v>0</v>
      </c>
    </row>
    <row r="235" spans="1:8" ht="30" x14ac:dyDescent="0.2">
      <c r="A235" s="126" t="s">
        <v>278</v>
      </c>
      <c r="B235" s="124" t="s">
        <v>271</v>
      </c>
      <c r="C235" s="124" t="s">
        <v>207</v>
      </c>
      <c r="D235" s="127">
        <v>9960088520</v>
      </c>
      <c r="E235" s="127"/>
      <c r="F235" s="111">
        <f>F236</f>
        <v>238644488.68000001</v>
      </c>
      <c r="G235" s="111">
        <f>G236</f>
        <v>11741386.74</v>
      </c>
      <c r="H235" s="111">
        <f>H236</f>
        <v>0</v>
      </c>
    </row>
    <row r="236" spans="1:8" x14ac:dyDescent="0.2">
      <c r="A236" s="125" t="s">
        <v>273</v>
      </c>
      <c r="B236" s="124" t="s">
        <v>271</v>
      </c>
      <c r="C236" s="124" t="s">
        <v>207</v>
      </c>
      <c r="D236" s="127">
        <v>9960088520</v>
      </c>
      <c r="E236" s="127">
        <v>500</v>
      </c>
      <c r="F236" s="111">
        <f>138566490.73+1290028.8+3522931+58572883.66+7509735+2.22+33388.46+901211.25+320000+154600+300000-56052125.66+16265630.9+32649317.89+5876753.77+4939443.58+2445503.17+2618774.6+3225096.11+15504823.2</f>
        <v>238644488.68000001</v>
      </c>
      <c r="G236" s="111">
        <v>11741386.74</v>
      </c>
      <c r="H236" s="111">
        <v>0</v>
      </c>
    </row>
    <row r="240" spans="1:8" x14ac:dyDescent="0.2">
      <c r="A240" s="95" t="s">
        <v>615</v>
      </c>
    </row>
    <row r="241" spans="1:1" x14ac:dyDescent="0.2">
      <c r="A241" s="95" t="s">
        <v>616</v>
      </c>
    </row>
    <row r="242" spans="1:1" x14ac:dyDescent="0.2">
      <c r="A242" s="95" t="s">
        <v>618</v>
      </c>
    </row>
    <row r="243" spans="1:1" x14ac:dyDescent="0.2">
      <c r="A243" s="95" t="s">
        <v>617</v>
      </c>
    </row>
  </sheetData>
  <mergeCells count="1">
    <mergeCell ref="A9:H9"/>
  </mergeCells>
  <pageMargins left="0.70866141732283472" right="0.70866141732283472" top="0.74803149606299213" bottom="0.74803149606299213" header="0.31496062992125984" footer="0.31496062992125984"/>
  <pageSetup paperSize="9" scale="5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"/>
  <sheetViews>
    <sheetView zoomScaleNormal="100" workbookViewId="0">
      <selection activeCell="D22" sqref="D22"/>
    </sheetView>
  </sheetViews>
  <sheetFormatPr defaultColWidth="9.140625" defaultRowHeight="15.75" x14ac:dyDescent="0.25"/>
  <cols>
    <col min="1" max="1" width="60.85546875" style="2" customWidth="1"/>
    <col min="2" max="2" width="6.140625" style="128" customWidth="1"/>
    <col min="3" max="3" width="6" style="128" customWidth="1"/>
    <col min="4" max="4" width="17.5703125" style="2" customWidth="1"/>
    <col min="5" max="5" width="8" style="2" customWidth="1"/>
    <col min="6" max="6" width="19.28515625" style="97" customWidth="1"/>
    <col min="7" max="7" width="21" style="133" customWidth="1"/>
    <col min="8" max="8" width="21" style="92" customWidth="1"/>
    <col min="9" max="9" width="9.140625" style="1" customWidth="1"/>
    <col min="10" max="16384" width="9.140625" style="1"/>
  </cols>
  <sheetData>
    <row r="1" spans="1:8" x14ac:dyDescent="0.25">
      <c r="G1" s="129"/>
      <c r="H1" s="129"/>
    </row>
    <row r="2" spans="1:8" ht="18.75" x14ac:dyDescent="0.3">
      <c r="D2" s="130"/>
      <c r="G2" s="131" t="s">
        <v>425</v>
      </c>
      <c r="H2" s="129"/>
    </row>
    <row r="3" spans="1:8" ht="18.75" x14ac:dyDescent="0.3">
      <c r="D3" s="130"/>
      <c r="G3" s="131" t="s">
        <v>192</v>
      </c>
      <c r="H3" s="129"/>
    </row>
    <row r="4" spans="1:8" ht="18.75" x14ac:dyDescent="0.3">
      <c r="D4" s="130"/>
      <c r="G4" s="131" t="s">
        <v>17</v>
      </c>
      <c r="H4" s="129"/>
    </row>
    <row r="5" spans="1:8" ht="18.75" x14ac:dyDescent="0.3">
      <c r="D5" s="130"/>
      <c r="G5" s="131" t="s">
        <v>18</v>
      </c>
      <c r="H5" s="129"/>
    </row>
    <row r="6" spans="1:8" ht="18.75" x14ac:dyDescent="0.3">
      <c r="D6" s="130"/>
      <c r="G6" s="131" t="s">
        <v>19</v>
      </c>
      <c r="H6" s="129"/>
    </row>
    <row r="7" spans="1:8" ht="18.75" x14ac:dyDescent="0.3">
      <c r="D7" s="130"/>
      <c r="G7" s="131" t="s">
        <v>699</v>
      </c>
      <c r="H7" s="129"/>
    </row>
    <row r="8" spans="1:8" ht="18.75" x14ac:dyDescent="0.3">
      <c r="D8" s="130"/>
      <c r="G8" s="131" t="s">
        <v>700</v>
      </c>
      <c r="H8" s="129"/>
    </row>
    <row r="9" spans="1:8" x14ac:dyDescent="0.25">
      <c r="G9" s="129"/>
      <c r="H9" s="129"/>
    </row>
    <row r="11" spans="1:8" ht="59.25" customHeight="1" x14ac:dyDescent="0.25">
      <c r="A11" s="389" t="s">
        <v>440</v>
      </c>
      <c r="B11" s="389"/>
      <c r="C11" s="389"/>
      <c r="D11" s="389"/>
      <c r="E11" s="389"/>
      <c r="F11" s="389"/>
      <c r="G11" s="389"/>
      <c r="H11" s="389"/>
    </row>
    <row r="13" spans="1:8" x14ac:dyDescent="0.25">
      <c r="F13" s="98"/>
      <c r="H13" s="132" t="s">
        <v>164</v>
      </c>
    </row>
    <row r="14" spans="1:8" s="91" customFormat="1" ht="30" x14ac:dyDescent="0.25">
      <c r="A14" s="58" t="s">
        <v>21</v>
      </c>
      <c r="B14" s="134" t="s">
        <v>193</v>
      </c>
      <c r="C14" s="134" t="s">
        <v>194</v>
      </c>
      <c r="D14" s="58" t="s">
        <v>165</v>
      </c>
      <c r="E14" s="58" t="s">
        <v>166</v>
      </c>
      <c r="F14" s="101" t="s">
        <v>22</v>
      </c>
      <c r="G14" s="101" t="s">
        <v>152</v>
      </c>
      <c r="H14" s="101" t="s">
        <v>434</v>
      </c>
    </row>
    <row r="15" spans="1:8" s="90" customFormat="1" x14ac:dyDescent="0.25">
      <c r="A15" s="135" t="s">
        <v>167</v>
      </c>
      <c r="B15" s="136"/>
      <c r="C15" s="136"/>
      <c r="D15" s="61"/>
      <c r="E15" s="61"/>
      <c r="F15" s="137">
        <f>F16+F74+F82+F116+F121+F127+F206+F239+F299+F319+F234</f>
        <v>3638909368.3600001</v>
      </c>
      <c r="G15" s="137">
        <f>G16+G74+G82+G116+G121+G127+G206+G239+G299+G319+G234</f>
        <v>2607918175.8900003</v>
      </c>
      <c r="H15" s="137">
        <f>H16+H74+H82+H116+H121+H127+H206+H239+H299+H319+H234</f>
        <v>2591859342.0500002</v>
      </c>
    </row>
    <row r="16" spans="1:8" x14ac:dyDescent="0.25">
      <c r="A16" s="82" t="s">
        <v>196</v>
      </c>
      <c r="B16" s="107" t="s">
        <v>197</v>
      </c>
      <c r="C16" s="107"/>
      <c r="D16" s="107"/>
      <c r="E16" s="107"/>
      <c r="F16" s="108">
        <f>F17+F21+F27+F34+F43+F47+F39</f>
        <v>883740816.81000006</v>
      </c>
      <c r="G16" s="108">
        <f>G17+G21+G27+G34+G43+G47+G39</f>
        <v>733499445.72000003</v>
      </c>
      <c r="H16" s="108">
        <f>H17+H21+H27+H34+H43+H47+H39</f>
        <v>783668070.72000003</v>
      </c>
    </row>
    <row r="17" spans="1:8" ht="47.25" x14ac:dyDescent="0.25">
      <c r="A17" s="82" t="s">
        <v>198</v>
      </c>
      <c r="B17" s="107" t="s">
        <v>197</v>
      </c>
      <c r="C17" s="107" t="s">
        <v>199</v>
      </c>
      <c r="D17" s="107"/>
      <c r="E17" s="107"/>
      <c r="F17" s="108">
        <f t="shared" ref="F17:H19" si="0">F18</f>
        <v>8254050</v>
      </c>
      <c r="G17" s="108">
        <f t="shared" si="0"/>
        <v>8183550</v>
      </c>
      <c r="H17" s="108">
        <f t="shared" si="0"/>
        <v>8269250</v>
      </c>
    </row>
    <row r="18" spans="1:8" s="138" customFormat="1" x14ac:dyDescent="0.25">
      <c r="A18" s="82" t="s">
        <v>200</v>
      </c>
      <c r="B18" s="107" t="s">
        <v>197</v>
      </c>
      <c r="C18" s="107" t="s">
        <v>199</v>
      </c>
      <c r="D18" s="107" t="s">
        <v>201</v>
      </c>
      <c r="E18" s="107"/>
      <c r="F18" s="108">
        <f t="shared" si="0"/>
        <v>8254050</v>
      </c>
      <c r="G18" s="108">
        <f t="shared" si="0"/>
        <v>8183550</v>
      </c>
      <c r="H18" s="108">
        <f t="shared" si="0"/>
        <v>8269250</v>
      </c>
    </row>
    <row r="19" spans="1:8" ht="30.75" x14ac:dyDescent="0.25">
      <c r="A19" s="72" t="s">
        <v>202</v>
      </c>
      <c r="B19" s="109" t="s">
        <v>197</v>
      </c>
      <c r="C19" s="109" t="s">
        <v>199</v>
      </c>
      <c r="D19" s="109" t="s">
        <v>203</v>
      </c>
      <c r="E19" s="109"/>
      <c r="F19" s="110">
        <f t="shared" si="0"/>
        <v>8254050</v>
      </c>
      <c r="G19" s="110">
        <f t="shared" si="0"/>
        <v>8183550</v>
      </c>
      <c r="H19" s="110">
        <f t="shared" si="0"/>
        <v>8269250</v>
      </c>
    </row>
    <row r="20" spans="1:8" ht="75.75" x14ac:dyDescent="0.25">
      <c r="A20" s="72" t="s">
        <v>169</v>
      </c>
      <c r="B20" s="109" t="s">
        <v>197</v>
      </c>
      <c r="C20" s="109" t="s">
        <v>199</v>
      </c>
      <c r="D20" s="109" t="s">
        <v>203</v>
      </c>
      <c r="E20" s="109" t="s">
        <v>178</v>
      </c>
      <c r="F20" s="139">
        <f>'Приложение 3'!F19</f>
        <v>8254050</v>
      </c>
      <c r="G20" s="139">
        <f>'Приложение 3'!G19</f>
        <v>8183550</v>
      </c>
      <c r="H20" s="139">
        <f>'Приложение 3'!H19</f>
        <v>8269250</v>
      </c>
    </row>
    <row r="21" spans="1:8" s="138" customFormat="1" ht="63" x14ac:dyDescent="0.25">
      <c r="A21" s="82" t="s">
        <v>206</v>
      </c>
      <c r="B21" s="107" t="s">
        <v>197</v>
      </c>
      <c r="C21" s="107" t="s">
        <v>207</v>
      </c>
      <c r="D21" s="107"/>
      <c r="E21" s="107"/>
      <c r="F21" s="108">
        <f t="shared" ref="F21:H22" si="1">F22</f>
        <v>4178564.08</v>
      </c>
      <c r="G21" s="108">
        <f t="shared" si="1"/>
        <v>4296164.08</v>
      </c>
      <c r="H21" s="108">
        <f t="shared" si="1"/>
        <v>4296164.08</v>
      </c>
    </row>
    <row r="22" spans="1:8" x14ac:dyDescent="0.25">
      <c r="A22" s="82" t="s">
        <v>200</v>
      </c>
      <c r="B22" s="107" t="s">
        <v>197</v>
      </c>
      <c r="C22" s="107" t="s">
        <v>207</v>
      </c>
      <c r="D22" s="107" t="s">
        <v>201</v>
      </c>
      <c r="E22" s="107"/>
      <c r="F22" s="108">
        <f t="shared" si="1"/>
        <v>4178564.08</v>
      </c>
      <c r="G22" s="108">
        <f t="shared" si="1"/>
        <v>4296164.08</v>
      </c>
      <c r="H22" s="108">
        <f t="shared" si="1"/>
        <v>4296164.08</v>
      </c>
    </row>
    <row r="23" spans="1:8" ht="30.75" x14ac:dyDescent="0.25">
      <c r="A23" s="72" t="s">
        <v>202</v>
      </c>
      <c r="B23" s="109" t="s">
        <v>197</v>
      </c>
      <c r="C23" s="109" t="s">
        <v>207</v>
      </c>
      <c r="D23" s="109" t="s">
        <v>203</v>
      </c>
      <c r="E23" s="109"/>
      <c r="F23" s="110">
        <f>F24+F25+F26</f>
        <v>4178564.08</v>
      </c>
      <c r="G23" s="110">
        <f>G24+G25+G26</f>
        <v>4296164.08</v>
      </c>
      <c r="H23" s="110">
        <f>H24+H25+H26</f>
        <v>4296164.08</v>
      </c>
    </row>
    <row r="24" spans="1:8" ht="75.75" x14ac:dyDescent="0.25">
      <c r="A24" s="72" t="s">
        <v>169</v>
      </c>
      <c r="B24" s="109" t="s">
        <v>197</v>
      </c>
      <c r="C24" s="109" t="s">
        <v>207</v>
      </c>
      <c r="D24" s="109" t="s">
        <v>203</v>
      </c>
      <c r="E24" s="109" t="s">
        <v>178</v>
      </c>
      <c r="F24" s="110">
        <f>'Приложение 3'!F24</f>
        <v>614001.07999999996</v>
      </c>
      <c r="G24" s="110">
        <f>'Приложение 3'!G24</f>
        <v>614001.07999999996</v>
      </c>
      <c r="H24" s="110">
        <f>'Приложение 3'!H24</f>
        <v>614001.07999999996</v>
      </c>
    </row>
    <row r="25" spans="1:8" ht="30.75" x14ac:dyDescent="0.25">
      <c r="A25" s="72" t="s">
        <v>170</v>
      </c>
      <c r="B25" s="109" t="s">
        <v>197</v>
      </c>
      <c r="C25" s="109" t="s">
        <v>207</v>
      </c>
      <c r="D25" s="109" t="s">
        <v>203</v>
      </c>
      <c r="E25" s="109" t="s">
        <v>181</v>
      </c>
      <c r="F25" s="110">
        <f>'Приложение 3'!F25</f>
        <v>3544563</v>
      </c>
      <c r="G25" s="110">
        <f>'Приложение 3'!G25</f>
        <v>3662163</v>
      </c>
      <c r="H25" s="110">
        <f>'Приложение 3'!H25</f>
        <v>3662163</v>
      </c>
    </row>
    <row r="26" spans="1:8" x14ac:dyDescent="0.25">
      <c r="A26" s="72" t="s">
        <v>172</v>
      </c>
      <c r="B26" s="109" t="s">
        <v>197</v>
      </c>
      <c r="C26" s="109" t="s">
        <v>207</v>
      </c>
      <c r="D26" s="109" t="s">
        <v>203</v>
      </c>
      <c r="E26" s="109" t="s">
        <v>179</v>
      </c>
      <c r="F26" s="110">
        <f>'Приложение 3'!F26</f>
        <v>20000</v>
      </c>
      <c r="G26" s="110">
        <f>'Приложение 3'!G26</f>
        <v>20000</v>
      </c>
      <c r="H26" s="110">
        <f>'Приложение 3'!H26</f>
        <v>20000</v>
      </c>
    </row>
    <row r="27" spans="1:8" ht="63" x14ac:dyDescent="0.25">
      <c r="A27" s="112" t="s">
        <v>210</v>
      </c>
      <c r="B27" s="107" t="s">
        <v>197</v>
      </c>
      <c r="C27" s="107" t="s">
        <v>211</v>
      </c>
      <c r="D27" s="107"/>
      <c r="E27" s="107"/>
      <c r="F27" s="108">
        <f t="shared" ref="F27:H28" si="2">F28</f>
        <v>68683279.25</v>
      </c>
      <c r="G27" s="108">
        <f t="shared" si="2"/>
        <v>67858276</v>
      </c>
      <c r="H27" s="108">
        <f t="shared" si="2"/>
        <v>67858276</v>
      </c>
    </row>
    <row r="28" spans="1:8" x14ac:dyDescent="0.25">
      <c r="A28" s="82" t="s">
        <v>200</v>
      </c>
      <c r="B28" s="107" t="s">
        <v>197</v>
      </c>
      <c r="C28" s="107" t="s">
        <v>211</v>
      </c>
      <c r="D28" s="107" t="s">
        <v>201</v>
      </c>
      <c r="E28" s="107"/>
      <c r="F28" s="108">
        <f t="shared" si="2"/>
        <v>68683279.25</v>
      </c>
      <c r="G28" s="108">
        <f t="shared" si="2"/>
        <v>67858276</v>
      </c>
      <c r="H28" s="108">
        <f t="shared" si="2"/>
        <v>67858276</v>
      </c>
    </row>
    <row r="29" spans="1:8" ht="30.75" x14ac:dyDescent="0.25">
      <c r="A29" s="72" t="s">
        <v>202</v>
      </c>
      <c r="B29" s="109" t="s">
        <v>197</v>
      </c>
      <c r="C29" s="109" t="s">
        <v>211</v>
      </c>
      <c r="D29" s="109" t="s">
        <v>203</v>
      </c>
      <c r="E29" s="109"/>
      <c r="F29" s="110">
        <f>SUM(F30:F33)</f>
        <v>68683279.25</v>
      </c>
      <c r="G29" s="110">
        <f>SUM(G30:G33)</f>
        <v>67858276</v>
      </c>
      <c r="H29" s="110">
        <f>SUM(H30:H33)</f>
        <v>67858276</v>
      </c>
    </row>
    <row r="30" spans="1:8" ht="75.75" x14ac:dyDescent="0.25">
      <c r="A30" s="72" t="s">
        <v>169</v>
      </c>
      <c r="B30" s="109" t="s">
        <v>197</v>
      </c>
      <c r="C30" s="109" t="s">
        <v>211</v>
      </c>
      <c r="D30" s="109" t="s">
        <v>203</v>
      </c>
      <c r="E30" s="109" t="s">
        <v>178</v>
      </c>
      <c r="F30" s="110">
        <f>'Приложение 3'!F31</f>
        <v>63645249</v>
      </c>
      <c r="G30" s="110">
        <f>'Приложение 3'!G31</f>
        <v>62991857</v>
      </c>
      <c r="H30" s="110">
        <f>'Приложение 3'!H31</f>
        <v>62991857</v>
      </c>
    </row>
    <row r="31" spans="1:8" s="138" customFormat="1" ht="30.75" x14ac:dyDescent="0.25">
      <c r="A31" s="72" t="s">
        <v>170</v>
      </c>
      <c r="B31" s="109" t="s">
        <v>197</v>
      </c>
      <c r="C31" s="109" t="s">
        <v>211</v>
      </c>
      <c r="D31" s="109" t="s">
        <v>203</v>
      </c>
      <c r="E31" s="109" t="s">
        <v>181</v>
      </c>
      <c r="F31" s="110">
        <f>'Приложение 3'!F32</f>
        <v>4842698.25</v>
      </c>
      <c r="G31" s="110">
        <f>'Приложение 3'!G32</f>
        <v>4721087</v>
      </c>
      <c r="H31" s="110">
        <f>'Приложение 3'!H32</f>
        <v>4721087</v>
      </c>
    </row>
    <row r="32" spans="1:8" s="138" customFormat="1" x14ac:dyDescent="0.25">
      <c r="A32" s="72" t="s">
        <v>171</v>
      </c>
      <c r="B32" s="109" t="s">
        <v>197</v>
      </c>
      <c r="C32" s="109" t="s">
        <v>211</v>
      </c>
      <c r="D32" s="109" t="s">
        <v>203</v>
      </c>
      <c r="E32" s="109" t="s">
        <v>183</v>
      </c>
      <c r="F32" s="110">
        <f>'Приложение 3'!F33</f>
        <v>50000</v>
      </c>
      <c r="G32" s="110">
        <f>'Приложение 3'!G33</f>
        <v>0</v>
      </c>
      <c r="H32" s="110">
        <f>'Приложение 3'!H33</f>
        <v>0</v>
      </c>
    </row>
    <row r="33" spans="1:8" s="138" customFormat="1" x14ac:dyDescent="0.25">
      <c r="A33" s="72" t="s">
        <v>172</v>
      </c>
      <c r="B33" s="109" t="s">
        <v>197</v>
      </c>
      <c r="C33" s="109" t="s">
        <v>211</v>
      </c>
      <c r="D33" s="109" t="s">
        <v>203</v>
      </c>
      <c r="E33" s="109" t="s">
        <v>179</v>
      </c>
      <c r="F33" s="110">
        <f>'Приложение 3'!F34</f>
        <v>145332</v>
      </c>
      <c r="G33" s="110">
        <f>'Приложение 3'!G34</f>
        <v>145332</v>
      </c>
      <c r="H33" s="110">
        <f>'Приложение 3'!H34</f>
        <v>145332</v>
      </c>
    </row>
    <row r="34" spans="1:8" ht="47.25" x14ac:dyDescent="0.25">
      <c r="A34" s="82" t="s">
        <v>214</v>
      </c>
      <c r="B34" s="107" t="s">
        <v>197</v>
      </c>
      <c r="C34" s="107" t="s">
        <v>215</v>
      </c>
      <c r="D34" s="107"/>
      <c r="E34" s="107"/>
      <c r="F34" s="108">
        <f t="shared" ref="F34:H35" si="3">F35</f>
        <v>44333048.509999998</v>
      </c>
      <c r="G34" s="108">
        <f t="shared" si="3"/>
        <v>43965194.469999999</v>
      </c>
      <c r="H34" s="108">
        <f t="shared" si="3"/>
        <v>44046039.469999999</v>
      </c>
    </row>
    <row r="35" spans="1:8" x14ac:dyDescent="0.25">
      <c r="A35" s="82" t="s">
        <v>200</v>
      </c>
      <c r="B35" s="107" t="s">
        <v>197</v>
      </c>
      <c r="C35" s="107" t="s">
        <v>215</v>
      </c>
      <c r="D35" s="107" t="s">
        <v>201</v>
      </c>
      <c r="E35" s="107"/>
      <c r="F35" s="108">
        <f t="shared" si="3"/>
        <v>44333048.509999998</v>
      </c>
      <c r="G35" s="108">
        <f t="shared" si="3"/>
        <v>43965194.469999999</v>
      </c>
      <c r="H35" s="108">
        <f t="shared" si="3"/>
        <v>44046039.469999999</v>
      </c>
    </row>
    <row r="36" spans="1:8" ht="30.75" x14ac:dyDescent="0.25">
      <c r="A36" s="72" t="s">
        <v>202</v>
      </c>
      <c r="B36" s="109" t="s">
        <v>197</v>
      </c>
      <c r="C36" s="109" t="s">
        <v>215</v>
      </c>
      <c r="D36" s="109" t="s">
        <v>203</v>
      </c>
      <c r="E36" s="109"/>
      <c r="F36" s="110">
        <f>SUM(F37:F38)</f>
        <v>44333048.509999998</v>
      </c>
      <c r="G36" s="110">
        <f>SUM(G37:G38)</f>
        <v>43965194.469999999</v>
      </c>
      <c r="H36" s="110">
        <f>SUM(H37:H38)</f>
        <v>44046039.469999999</v>
      </c>
    </row>
    <row r="37" spans="1:8" ht="75.75" x14ac:dyDescent="0.25">
      <c r="A37" s="72" t="s">
        <v>169</v>
      </c>
      <c r="B37" s="109" t="s">
        <v>197</v>
      </c>
      <c r="C37" s="109" t="s">
        <v>215</v>
      </c>
      <c r="D37" s="109" t="s">
        <v>203</v>
      </c>
      <c r="E37" s="109" t="s">
        <v>178</v>
      </c>
      <c r="F37" s="110">
        <f>'Приложение 3'!F39+'Приложение 3'!F41+'Приложение 3'!F45</f>
        <v>41409175.509999998</v>
      </c>
      <c r="G37" s="110">
        <f>'Приложение 3'!G39+'Приложение 3'!G41+'Приложение 3'!G45</f>
        <v>40913321.469999999</v>
      </c>
      <c r="H37" s="110">
        <f>'Приложение 3'!H39+'Приложение 3'!H41+'Приложение 3'!H45</f>
        <v>40994166.469999999</v>
      </c>
    </row>
    <row r="38" spans="1:8" ht="30.75" x14ac:dyDescent="0.25">
      <c r="A38" s="72" t="s">
        <v>170</v>
      </c>
      <c r="B38" s="109" t="s">
        <v>197</v>
      </c>
      <c r="C38" s="109" t="s">
        <v>215</v>
      </c>
      <c r="D38" s="109" t="s">
        <v>203</v>
      </c>
      <c r="E38" s="109" t="s">
        <v>181</v>
      </c>
      <c r="F38" s="110">
        <f>'Приложение 3'!F42+'Приложение 3'!F46</f>
        <v>2923873</v>
      </c>
      <c r="G38" s="110">
        <f>'Приложение 3'!G42+'Приложение 3'!G46</f>
        <v>3051873</v>
      </c>
      <c r="H38" s="110">
        <f>'Приложение 3'!H42+'Приложение 3'!H46</f>
        <v>3051873</v>
      </c>
    </row>
    <row r="39" spans="1:8" s="64" customFormat="1" ht="31.5" x14ac:dyDescent="0.25">
      <c r="A39" s="82" t="s">
        <v>282</v>
      </c>
      <c r="B39" s="107" t="s">
        <v>197</v>
      </c>
      <c r="C39" s="107" t="s">
        <v>248</v>
      </c>
      <c r="D39" s="107"/>
      <c r="E39" s="107"/>
      <c r="F39" s="108">
        <f>F40</f>
        <v>13979702</v>
      </c>
      <c r="G39" s="108">
        <f t="shared" ref="G39:H41" si="4">G40</f>
        <v>0</v>
      </c>
      <c r="H39" s="108">
        <f t="shared" si="4"/>
        <v>0</v>
      </c>
    </row>
    <row r="40" spans="1:8" s="64" customFormat="1" x14ac:dyDescent="0.25">
      <c r="A40" s="82" t="s">
        <v>200</v>
      </c>
      <c r="B40" s="107" t="s">
        <v>197</v>
      </c>
      <c r="C40" s="107" t="s">
        <v>248</v>
      </c>
      <c r="D40" s="107" t="s">
        <v>201</v>
      </c>
      <c r="E40" s="107"/>
      <c r="F40" s="108">
        <f>F41</f>
        <v>13979702</v>
      </c>
      <c r="G40" s="108">
        <f t="shared" si="4"/>
        <v>0</v>
      </c>
      <c r="H40" s="108">
        <f t="shared" si="4"/>
        <v>0</v>
      </c>
    </row>
    <row r="41" spans="1:8" x14ac:dyDescent="0.25">
      <c r="A41" s="72" t="s">
        <v>281</v>
      </c>
      <c r="B41" s="109" t="s">
        <v>197</v>
      </c>
      <c r="C41" s="109" t="s">
        <v>248</v>
      </c>
      <c r="D41" s="109" t="s">
        <v>280</v>
      </c>
      <c r="E41" s="109"/>
      <c r="F41" s="110">
        <f>F42</f>
        <v>13979702</v>
      </c>
      <c r="G41" s="110">
        <f t="shared" si="4"/>
        <v>0</v>
      </c>
      <c r="H41" s="110">
        <f t="shared" si="4"/>
        <v>0</v>
      </c>
    </row>
    <row r="42" spans="1:8" x14ac:dyDescent="0.25">
      <c r="A42" s="72" t="s">
        <v>172</v>
      </c>
      <c r="B42" s="109" t="s">
        <v>197</v>
      </c>
      <c r="C42" s="109" t="s">
        <v>248</v>
      </c>
      <c r="D42" s="109" t="s">
        <v>280</v>
      </c>
      <c r="E42" s="109" t="s">
        <v>179</v>
      </c>
      <c r="F42" s="110">
        <f>'Приложение 3'!F53+'Приложение 3'!F51</f>
        <v>13979702</v>
      </c>
      <c r="G42" s="110">
        <f>'Приложение 3'!G51</f>
        <v>0</v>
      </c>
      <c r="H42" s="110">
        <f>'Приложение 3'!H51</f>
        <v>0</v>
      </c>
    </row>
    <row r="43" spans="1:8" x14ac:dyDescent="0.25">
      <c r="A43" s="82" t="s">
        <v>218</v>
      </c>
      <c r="B43" s="107" t="s">
        <v>197</v>
      </c>
      <c r="C43" s="107" t="s">
        <v>219</v>
      </c>
      <c r="D43" s="107"/>
      <c r="E43" s="107"/>
      <c r="F43" s="108">
        <f t="shared" ref="F43:H45" si="5">F44</f>
        <v>17294109.389999997</v>
      </c>
      <c r="G43" s="108">
        <f t="shared" si="5"/>
        <v>70000000</v>
      </c>
      <c r="H43" s="108">
        <f t="shared" si="5"/>
        <v>70000000</v>
      </c>
    </row>
    <row r="44" spans="1:8" x14ac:dyDescent="0.25">
      <c r="A44" s="82" t="s">
        <v>200</v>
      </c>
      <c r="B44" s="107" t="s">
        <v>197</v>
      </c>
      <c r="C44" s="107" t="s">
        <v>219</v>
      </c>
      <c r="D44" s="107" t="s">
        <v>201</v>
      </c>
      <c r="E44" s="107"/>
      <c r="F44" s="108">
        <f t="shared" si="5"/>
        <v>17294109.389999997</v>
      </c>
      <c r="G44" s="108">
        <f t="shared" si="5"/>
        <v>70000000</v>
      </c>
      <c r="H44" s="108">
        <f t="shared" si="5"/>
        <v>70000000</v>
      </c>
    </row>
    <row r="45" spans="1:8" x14ac:dyDescent="0.25">
      <c r="A45" s="72" t="s">
        <v>283</v>
      </c>
      <c r="B45" s="109" t="s">
        <v>197</v>
      </c>
      <c r="C45" s="109" t="s">
        <v>219</v>
      </c>
      <c r="D45" s="109" t="s">
        <v>221</v>
      </c>
      <c r="E45" s="109"/>
      <c r="F45" s="110">
        <f t="shared" si="5"/>
        <v>17294109.389999997</v>
      </c>
      <c r="G45" s="110">
        <f t="shared" si="5"/>
        <v>70000000</v>
      </c>
      <c r="H45" s="110">
        <f t="shared" si="5"/>
        <v>70000000</v>
      </c>
    </row>
    <row r="46" spans="1:8" x14ac:dyDescent="0.25">
      <c r="A46" s="72" t="s">
        <v>172</v>
      </c>
      <c r="B46" s="109" t="s">
        <v>197</v>
      </c>
      <c r="C46" s="109" t="s">
        <v>219</v>
      </c>
      <c r="D46" s="109" t="s">
        <v>221</v>
      </c>
      <c r="E46" s="109" t="s">
        <v>179</v>
      </c>
      <c r="F46" s="110">
        <f>'Приложение 3'!F58</f>
        <v>17294109.389999997</v>
      </c>
      <c r="G46" s="110">
        <f>'Приложение 3'!G58</f>
        <v>70000000</v>
      </c>
      <c r="H46" s="110">
        <f>'Приложение 3'!H58</f>
        <v>70000000</v>
      </c>
    </row>
    <row r="47" spans="1:8" s="64" customFormat="1" x14ac:dyDescent="0.25">
      <c r="A47" s="82" t="s">
        <v>224</v>
      </c>
      <c r="B47" s="107" t="s">
        <v>197</v>
      </c>
      <c r="C47" s="107" t="s">
        <v>225</v>
      </c>
      <c r="D47" s="107"/>
      <c r="E47" s="107"/>
      <c r="F47" s="108">
        <f>F48+F51+F61</f>
        <v>727018063.58000004</v>
      </c>
      <c r="G47" s="108">
        <f>G48+G51+G61</f>
        <v>539196261.16999996</v>
      </c>
      <c r="H47" s="108">
        <f>H48+H51+H61</f>
        <v>589198341.16999996</v>
      </c>
    </row>
    <row r="48" spans="1:8" ht="47.25" x14ac:dyDescent="0.25">
      <c r="A48" s="82" t="s">
        <v>184</v>
      </c>
      <c r="B48" s="107" t="s">
        <v>197</v>
      </c>
      <c r="C48" s="107" t="s">
        <v>225</v>
      </c>
      <c r="D48" s="107" t="s">
        <v>501</v>
      </c>
      <c r="E48" s="107"/>
      <c r="F48" s="108">
        <f t="shared" ref="F48:H49" si="6">F49</f>
        <v>8655947.9000000004</v>
      </c>
      <c r="G48" s="108">
        <f t="shared" si="6"/>
        <v>9735155</v>
      </c>
      <c r="H48" s="108">
        <f t="shared" si="6"/>
        <v>9735155</v>
      </c>
    </row>
    <row r="49" spans="1:8" x14ac:dyDescent="0.25">
      <c r="A49" s="72" t="s">
        <v>478</v>
      </c>
      <c r="B49" s="109" t="s">
        <v>197</v>
      </c>
      <c r="C49" s="109" t="s">
        <v>225</v>
      </c>
      <c r="D49" s="109" t="s">
        <v>502</v>
      </c>
      <c r="E49" s="109"/>
      <c r="F49" s="110">
        <f t="shared" si="6"/>
        <v>8655947.9000000004</v>
      </c>
      <c r="G49" s="110">
        <f t="shared" si="6"/>
        <v>9735155</v>
      </c>
      <c r="H49" s="110">
        <f t="shared" si="6"/>
        <v>9735155</v>
      </c>
    </row>
    <row r="50" spans="1:8" ht="30.75" x14ac:dyDescent="0.25">
      <c r="A50" s="72" t="s">
        <v>170</v>
      </c>
      <c r="B50" s="109" t="s">
        <v>197</v>
      </c>
      <c r="C50" s="109" t="s">
        <v>225</v>
      </c>
      <c r="D50" s="109" t="s">
        <v>502</v>
      </c>
      <c r="E50" s="109" t="s">
        <v>181</v>
      </c>
      <c r="F50" s="110">
        <f>9735155-1765987.57+1765987.57-2119935-929190.66+445227.19+843033.99+681657.38</f>
        <v>8655947.9000000004</v>
      </c>
      <c r="G50" s="110">
        <v>9735155</v>
      </c>
      <c r="H50" s="110">
        <v>9735155</v>
      </c>
    </row>
    <row r="51" spans="1:8" ht="31.5" x14ac:dyDescent="0.25">
      <c r="A51" s="82" t="s">
        <v>186</v>
      </c>
      <c r="B51" s="107" t="s">
        <v>197</v>
      </c>
      <c r="C51" s="107" t="s">
        <v>225</v>
      </c>
      <c r="D51" s="107" t="s">
        <v>489</v>
      </c>
      <c r="E51" s="107"/>
      <c r="F51" s="108">
        <f>F52+F56</f>
        <v>64859267.810000002</v>
      </c>
      <c r="G51" s="108">
        <f>G52+G56</f>
        <v>53089887.049999997</v>
      </c>
      <c r="H51" s="108">
        <f>H52+H56</f>
        <v>53089887.049999997</v>
      </c>
    </row>
    <row r="52" spans="1:8" x14ac:dyDescent="0.25">
      <c r="A52" s="72" t="s">
        <v>478</v>
      </c>
      <c r="B52" s="109" t="s">
        <v>197</v>
      </c>
      <c r="C52" s="109" t="s">
        <v>225</v>
      </c>
      <c r="D52" s="109" t="s">
        <v>490</v>
      </c>
      <c r="E52" s="109"/>
      <c r="F52" s="110">
        <f>SUM(F53:F55)</f>
        <v>29498446.57</v>
      </c>
      <c r="G52" s="110">
        <f>SUM(G53:G55)</f>
        <v>17120163.969999999</v>
      </c>
      <c r="H52" s="110">
        <f>SUM(H53:H55)</f>
        <v>17120163.969999999</v>
      </c>
    </row>
    <row r="53" spans="1:8" ht="30.75" x14ac:dyDescent="0.25">
      <c r="A53" s="72" t="s">
        <v>170</v>
      </c>
      <c r="B53" s="109" t="s">
        <v>197</v>
      </c>
      <c r="C53" s="109" t="s">
        <v>225</v>
      </c>
      <c r="D53" s="109" t="s">
        <v>490</v>
      </c>
      <c r="E53" s="109" t="s">
        <v>181</v>
      </c>
      <c r="F53" s="110">
        <f>17110163.97+486000+2388406.11+1609300+1718288.76+750000+1400749+594296+1574578.8-22526.73-118422.37</f>
        <v>27490833.539999999</v>
      </c>
      <c r="G53" s="110">
        <v>17110163.969999999</v>
      </c>
      <c r="H53" s="110">
        <v>17110163.969999999</v>
      </c>
    </row>
    <row r="54" spans="1:8" ht="30.75" x14ac:dyDescent="0.25">
      <c r="A54" s="72" t="s">
        <v>187</v>
      </c>
      <c r="B54" s="109" t="s">
        <v>197</v>
      </c>
      <c r="C54" s="109" t="s">
        <v>225</v>
      </c>
      <c r="D54" s="109" t="s">
        <v>490</v>
      </c>
      <c r="E54" s="109" t="s">
        <v>185</v>
      </c>
      <c r="F54" s="110">
        <f>370000+580000+929190.66</f>
        <v>1879190.6600000001</v>
      </c>
      <c r="G54" s="110">
        <v>0</v>
      </c>
      <c r="H54" s="110">
        <v>0</v>
      </c>
    </row>
    <row r="55" spans="1:8" x14ac:dyDescent="0.25">
      <c r="A55" s="72" t="s">
        <v>172</v>
      </c>
      <c r="B55" s="109" t="s">
        <v>197</v>
      </c>
      <c r="C55" s="109" t="s">
        <v>225</v>
      </c>
      <c r="D55" s="109" t="s">
        <v>490</v>
      </c>
      <c r="E55" s="109" t="s">
        <v>179</v>
      </c>
      <c r="F55" s="110">
        <f>10000+118422.37</f>
        <v>128422.37</v>
      </c>
      <c r="G55" s="110">
        <v>10000</v>
      </c>
      <c r="H55" s="110">
        <v>10000</v>
      </c>
    </row>
    <row r="56" spans="1:8" x14ac:dyDescent="0.25">
      <c r="A56" s="72" t="s">
        <v>474</v>
      </c>
      <c r="B56" s="109" t="s">
        <v>197</v>
      </c>
      <c r="C56" s="109" t="s">
        <v>225</v>
      </c>
      <c r="D56" s="109" t="s">
        <v>491</v>
      </c>
      <c r="E56" s="109"/>
      <c r="F56" s="110">
        <f>SUM(F57:F60)</f>
        <v>35360821.240000002</v>
      </c>
      <c r="G56" s="110">
        <f>SUM(G57:G60)</f>
        <v>35969723.079999998</v>
      </c>
      <c r="H56" s="110">
        <f>SUM(H57:H60)</f>
        <v>35969723.079999998</v>
      </c>
    </row>
    <row r="57" spans="1:8" ht="75.75" x14ac:dyDescent="0.25">
      <c r="A57" s="72" t="s">
        <v>169</v>
      </c>
      <c r="B57" s="109" t="s">
        <v>197</v>
      </c>
      <c r="C57" s="109" t="s">
        <v>225</v>
      </c>
      <c r="D57" s="109" t="s">
        <v>491</v>
      </c>
      <c r="E57" s="109" t="s">
        <v>178</v>
      </c>
      <c r="F57" s="111">
        <f>32713875-50000-97525</f>
        <v>32566350</v>
      </c>
      <c r="G57" s="111">
        <v>33285166.84</v>
      </c>
      <c r="H57" s="111">
        <v>33285166.84</v>
      </c>
    </row>
    <row r="58" spans="1:8" ht="30.75" x14ac:dyDescent="0.25">
      <c r="A58" s="72" t="s">
        <v>170</v>
      </c>
      <c r="B58" s="109" t="s">
        <v>197</v>
      </c>
      <c r="C58" s="109" t="s">
        <v>225</v>
      </c>
      <c r="D58" s="109" t="s">
        <v>491</v>
      </c>
      <c r="E58" s="109" t="s">
        <v>181</v>
      </c>
      <c r="F58" s="111">
        <f>2439846.24+202100+97525</f>
        <v>2739471.24</v>
      </c>
      <c r="G58" s="111">
        <v>2679556.2400000002</v>
      </c>
      <c r="H58" s="111">
        <v>2679556.2400000002</v>
      </c>
    </row>
    <row r="59" spans="1:8" x14ac:dyDescent="0.25">
      <c r="A59" s="72" t="s">
        <v>171</v>
      </c>
      <c r="B59" s="109" t="s">
        <v>197</v>
      </c>
      <c r="C59" s="109" t="s">
        <v>225</v>
      </c>
      <c r="D59" s="109" t="s">
        <v>491</v>
      </c>
      <c r="E59" s="109" t="s">
        <v>183</v>
      </c>
      <c r="F59" s="111">
        <v>50000</v>
      </c>
      <c r="G59" s="111">
        <v>0</v>
      </c>
      <c r="H59" s="111">
        <v>0</v>
      </c>
    </row>
    <row r="60" spans="1:8" s="140" customFormat="1" x14ac:dyDescent="0.25">
      <c r="A60" s="72" t="s">
        <v>172</v>
      </c>
      <c r="B60" s="109" t="s">
        <v>197</v>
      </c>
      <c r="C60" s="109" t="s">
        <v>225</v>
      </c>
      <c r="D60" s="109" t="s">
        <v>491</v>
      </c>
      <c r="E60" s="109" t="s">
        <v>179</v>
      </c>
      <c r="F60" s="111">
        <v>5000</v>
      </c>
      <c r="G60" s="111">
        <v>5000</v>
      </c>
      <c r="H60" s="111">
        <v>5000</v>
      </c>
    </row>
    <row r="61" spans="1:8" x14ac:dyDescent="0.25">
      <c r="A61" s="82" t="s">
        <v>200</v>
      </c>
      <c r="B61" s="107" t="s">
        <v>197</v>
      </c>
      <c r="C61" s="107" t="s">
        <v>225</v>
      </c>
      <c r="D61" s="103">
        <v>9900000000</v>
      </c>
      <c r="E61" s="107"/>
      <c r="F61" s="108">
        <f>F62+F68</f>
        <v>653502847.87</v>
      </c>
      <c r="G61" s="108">
        <f>G62+G68</f>
        <v>476371219.12</v>
      </c>
      <c r="H61" s="108">
        <f>H62+H68</f>
        <v>526373299.12</v>
      </c>
    </row>
    <row r="62" spans="1:8" ht="30.75" x14ac:dyDescent="0.25">
      <c r="A62" s="72" t="s">
        <v>202</v>
      </c>
      <c r="B62" s="109" t="s">
        <v>197</v>
      </c>
      <c r="C62" s="109" t="s">
        <v>225</v>
      </c>
      <c r="D62" s="100">
        <v>9910000000</v>
      </c>
      <c r="E62" s="109"/>
      <c r="F62" s="110">
        <f>SUM(F63:F67)</f>
        <v>533488634.69</v>
      </c>
      <c r="G62" s="110">
        <f>SUM(G63:G67)</f>
        <v>471754839.12</v>
      </c>
      <c r="H62" s="110">
        <f>SUM(H63:H67)</f>
        <v>471756919.12</v>
      </c>
    </row>
    <row r="63" spans="1:8" ht="75.75" x14ac:dyDescent="0.25">
      <c r="A63" s="72" t="s">
        <v>169</v>
      </c>
      <c r="B63" s="109" t="s">
        <v>197</v>
      </c>
      <c r="C63" s="109" t="s">
        <v>225</v>
      </c>
      <c r="D63" s="100">
        <v>9910000000</v>
      </c>
      <c r="E63" s="109" t="s">
        <v>178</v>
      </c>
      <c r="F63" s="110">
        <f>'Приложение 3'!F63+'Приложение 3'!F65+'Приложение 3'!F68+'Приложение 3'!F73+'Приложение 3'!F77+'Приложение 3'!F81</f>
        <v>139576766.51000002</v>
      </c>
      <c r="G63" s="110">
        <f>'Приложение 3'!G63+'Приложение 3'!G65+'Приложение 3'!G68+'Приложение 3'!G73+'Приложение 3'!G77+'Приложение 3'!G81</f>
        <v>139901383.13</v>
      </c>
      <c r="H63" s="110">
        <f>'Приложение 3'!H63+'Приложение 3'!H65+'Приложение 3'!H68+'Приложение 3'!H73+'Приложение 3'!H77+'Приложение 3'!H81</f>
        <v>139903463.13</v>
      </c>
    </row>
    <row r="64" spans="1:8" ht="30.75" x14ac:dyDescent="0.25">
      <c r="A64" s="72" t="s">
        <v>170</v>
      </c>
      <c r="B64" s="109" t="s">
        <v>197</v>
      </c>
      <c r="C64" s="109" t="s">
        <v>225</v>
      </c>
      <c r="D64" s="100">
        <v>9910000000</v>
      </c>
      <c r="E64" s="109" t="s">
        <v>181</v>
      </c>
      <c r="F64" s="110">
        <f>'Приложение 3'!F69+'Приложение 3'!F74+'Приложение 3'!F78+'Приложение 3'!F82+'Приложение 3'!F66</f>
        <v>15148840.879999999</v>
      </c>
      <c r="G64" s="110">
        <f>'Приложение 3'!G69+'Приложение 3'!G74+'Приложение 3'!G78+'Приложение 3'!G82+'Приложение 3'!G66</f>
        <v>16103028.379999999</v>
      </c>
      <c r="H64" s="110">
        <f>'Приложение 3'!H69+'Приложение 3'!H74+'Приложение 3'!H78+'Приложение 3'!H82+'Приложение 3'!H66</f>
        <v>16103028.379999999</v>
      </c>
    </row>
    <row r="65" spans="1:8" x14ac:dyDescent="0.25">
      <c r="A65" s="72" t="s">
        <v>171</v>
      </c>
      <c r="B65" s="109" t="s">
        <v>197</v>
      </c>
      <c r="C65" s="109" t="s">
        <v>225</v>
      </c>
      <c r="D65" s="100">
        <v>9910000000</v>
      </c>
      <c r="E65" s="109" t="s">
        <v>183</v>
      </c>
      <c r="F65" s="110">
        <f>'Приложение 3'!F83</f>
        <v>10863.52</v>
      </c>
      <c r="G65" s="110">
        <f>'Приложение 3'!G83</f>
        <v>0</v>
      </c>
      <c r="H65" s="110">
        <f>'Приложение 3'!H83</f>
        <v>0</v>
      </c>
    </row>
    <row r="66" spans="1:8" ht="30.75" x14ac:dyDescent="0.25">
      <c r="A66" s="70" t="s">
        <v>173</v>
      </c>
      <c r="B66" s="109" t="s">
        <v>197</v>
      </c>
      <c r="C66" s="109" t="s">
        <v>225</v>
      </c>
      <c r="D66" s="100">
        <v>9910000000</v>
      </c>
      <c r="E66" s="109" t="s">
        <v>227</v>
      </c>
      <c r="F66" s="110">
        <f>'Приложение 3'!F71</f>
        <v>377714493.77999997</v>
      </c>
      <c r="G66" s="110">
        <f>'Приложение 3'!G71</f>
        <v>314712757.61000001</v>
      </c>
      <c r="H66" s="110">
        <f>'Приложение 3'!H71</f>
        <v>314712757.61000001</v>
      </c>
    </row>
    <row r="67" spans="1:8" x14ac:dyDescent="0.25">
      <c r="A67" s="72" t="s">
        <v>172</v>
      </c>
      <c r="B67" s="109" t="s">
        <v>197</v>
      </c>
      <c r="C67" s="109" t="s">
        <v>225</v>
      </c>
      <c r="D67" s="100">
        <v>9910000000</v>
      </c>
      <c r="E67" s="109" t="s">
        <v>179</v>
      </c>
      <c r="F67" s="110">
        <f>'Приложение 3'!F79</f>
        <v>1037670</v>
      </c>
      <c r="G67" s="110">
        <f>'Приложение 3'!G79</f>
        <v>1037670</v>
      </c>
      <c r="H67" s="110">
        <f>'Приложение 3'!H79</f>
        <v>1037670</v>
      </c>
    </row>
    <row r="68" spans="1:8" s="140" customFormat="1" x14ac:dyDescent="0.25">
      <c r="A68" s="72" t="s">
        <v>220</v>
      </c>
      <c r="B68" s="109" t="s">
        <v>197</v>
      </c>
      <c r="C68" s="109" t="s">
        <v>225</v>
      </c>
      <c r="D68" s="109" t="s">
        <v>221</v>
      </c>
      <c r="E68" s="109"/>
      <c r="F68" s="110">
        <f>SUM(F69:F73)</f>
        <v>120014213.18000004</v>
      </c>
      <c r="G68" s="110">
        <f>SUM(G70:G73)</f>
        <v>4616380</v>
      </c>
      <c r="H68" s="110">
        <f>SUM(H70:H73)</f>
        <v>54616380</v>
      </c>
    </row>
    <row r="69" spans="1:8" s="140" customFormat="1" ht="75.75" x14ac:dyDescent="0.25">
      <c r="A69" s="72" t="s">
        <v>169</v>
      </c>
      <c r="B69" s="109" t="s">
        <v>197</v>
      </c>
      <c r="C69" s="109" t="s">
        <v>225</v>
      </c>
      <c r="D69" s="109" t="s">
        <v>221</v>
      </c>
      <c r="E69" s="109" t="s">
        <v>178</v>
      </c>
      <c r="F69" s="110">
        <f>'Приложение 3'!F89</f>
        <v>151641</v>
      </c>
      <c r="G69" s="110">
        <v>0</v>
      </c>
      <c r="H69" s="110">
        <v>0</v>
      </c>
    </row>
    <row r="70" spans="1:8" s="138" customFormat="1" ht="30.75" x14ac:dyDescent="0.25">
      <c r="A70" s="72" t="s">
        <v>170</v>
      </c>
      <c r="B70" s="109" t="s">
        <v>197</v>
      </c>
      <c r="C70" s="109" t="s">
        <v>225</v>
      </c>
      <c r="D70" s="109" t="s">
        <v>221</v>
      </c>
      <c r="E70" s="109" t="s">
        <v>181</v>
      </c>
      <c r="F70" s="110">
        <f>'Приложение 3'!F90+'Приложение 3'!F86</f>
        <v>61552910.400000006</v>
      </c>
      <c r="G70" s="110">
        <f>'Приложение 3'!G90+'Приложение 3'!G86</f>
        <v>4386500</v>
      </c>
      <c r="H70" s="110">
        <f>'Приложение 3'!H90+'Приложение 3'!H86</f>
        <v>4386500</v>
      </c>
    </row>
    <row r="71" spans="1:8" s="140" customFormat="1" x14ac:dyDescent="0.25">
      <c r="A71" s="72" t="s">
        <v>171</v>
      </c>
      <c r="B71" s="109" t="s">
        <v>197</v>
      </c>
      <c r="C71" s="109" t="s">
        <v>225</v>
      </c>
      <c r="D71" s="109" t="s">
        <v>221</v>
      </c>
      <c r="E71" s="109" t="s">
        <v>183</v>
      </c>
      <c r="F71" s="110">
        <f>'Приложение 3'!F97+'Приложение 3'!F91</f>
        <v>2269148.5</v>
      </c>
      <c r="G71" s="110">
        <f>'Приложение 3'!G97+'Приложение 3'!G91</f>
        <v>229880</v>
      </c>
      <c r="H71" s="110">
        <f>'Приложение 3'!H97+'Приложение 3'!H91</f>
        <v>229880</v>
      </c>
    </row>
    <row r="72" spans="1:8" s="140" customFormat="1" ht="30.75" x14ac:dyDescent="0.25">
      <c r="A72" s="70" t="s">
        <v>173</v>
      </c>
      <c r="B72" s="109" t="s">
        <v>197</v>
      </c>
      <c r="C72" s="109" t="s">
        <v>225</v>
      </c>
      <c r="D72" s="109" t="s">
        <v>221</v>
      </c>
      <c r="E72" s="109" t="s">
        <v>227</v>
      </c>
      <c r="F72" s="110">
        <f>'Приложение 3'!F92</f>
        <v>18961747.710000001</v>
      </c>
      <c r="G72" s="110">
        <f>'Приложение 3'!G92</f>
        <v>0</v>
      </c>
      <c r="H72" s="110">
        <f>'Приложение 3'!H92</f>
        <v>0</v>
      </c>
    </row>
    <row r="73" spans="1:8" s="140" customFormat="1" x14ac:dyDescent="0.25">
      <c r="A73" s="72" t="s">
        <v>172</v>
      </c>
      <c r="B73" s="109" t="s">
        <v>197</v>
      </c>
      <c r="C73" s="109" t="s">
        <v>225</v>
      </c>
      <c r="D73" s="109" t="s">
        <v>221</v>
      </c>
      <c r="E73" s="109" t="s">
        <v>179</v>
      </c>
      <c r="F73" s="110">
        <f>'Приложение 3'!F99+'Приложение 3'!F101+'Приложение 3'!F103+'Приложение 3'!F105+'Приложение 3'!F87</f>
        <v>37078765.570000015</v>
      </c>
      <c r="G73" s="110">
        <f>'Приложение 3'!G99+'Приложение 3'!G101+'Приложение 3'!G103+'Приложение 3'!G105+'Приложение 3'!G87</f>
        <v>0</v>
      </c>
      <c r="H73" s="110">
        <f>'Приложение 3'!H99+'Приложение 3'!H101+'Приложение 3'!H103+'Приложение 3'!H105+'Приложение 3'!H87</f>
        <v>50000000</v>
      </c>
    </row>
    <row r="74" spans="1:8" s="141" customFormat="1" ht="31.5" x14ac:dyDescent="0.25">
      <c r="A74" s="82" t="s">
        <v>230</v>
      </c>
      <c r="B74" s="107" t="s">
        <v>207</v>
      </c>
      <c r="C74" s="107"/>
      <c r="D74" s="107"/>
      <c r="E74" s="107"/>
      <c r="F74" s="108">
        <f t="shared" ref="F74:H75" si="7">F75</f>
        <v>16954511.810000002</v>
      </c>
      <c r="G74" s="108">
        <f t="shared" si="7"/>
        <v>14500153</v>
      </c>
      <c r="H74" s="108">
        <f t="shared" si="7"/>
        <v>14500153</v>
      </c>
    </row>
    <row r="75" spans="1:8" s="141" customFormat="1" ht="63" x14ac:dyDescent="0.25">
      <c r="A75" s="82" t="s">
        <v>231</v>
      </c>
      <c r="B75" s="107" t="s">
        <v>207</v>
      </c>
      <c r="C75" s="107" t="s">
        <v>232</v>
      </c>
      <c r="D75" s="107"/>
      <c r="E75" s="107"/>
      <c r="F75" s="108">
        <f t="shared" si="7"/>
        <v>16954511.810000002</v>
      </c>
      <c r="G75" s="108">
        <f t="shared" si="7"/>
        <v>14500153</v>
      </c>
      <c r="H75" s="108">
        <f t="shared" si="7"/>
        <v>14500153</v>
      </c>
    </row>
    <row r="76" spans="1:8" s="140" customFormat="1" x14ac:dyDescent="0.25">
      <c r="A76" s="79" t="s">
        <v>200</v>
      </c>
      <c r="B76" s="107" t="s">
        <v>207</v>
      </c>
      <c r="C76" s="107" t="s">
        <v>232</v>
      </c>
      <c r="D76" s="103">
        <v>9900000000</v>
      </c>
      <c r="E76" s="103"/>
      <c r="F76" s="108">
        <f>F77+F80</f>
        <v>16954511.810000002</v>
      </c>
      <c r="G76" s="108">
        <f>G77+G80</f>
        <v>14500153</v>
      </c>
      <c r="H76" s="108">
        <f>H77+H80</f>
        <v>14500153</v>
      </c>
    </row>
    <row r="77" spans="1:8" s="140" customFormat="1" ht="30.75" x14ac:dyDescent="0.25">
      <c r="A77" s="72" t="s">
        <v>202</v>
      </c>
      <c r="B77" s="109" t="s">
        <v>207</v>
      </c>
      <c r="C77" s="109" t="s">
        <v>232</v>
      </c>
      <c r="D77" s="100">
        <v>9910000000</v>
      </c>
      <c r="E77" s="100"/>
      <c r="F77" s="110">
        <f>SUM(F78:F79)</f>
        <v>13954511.810000001</v>
      </c>
      <c r="G77" s="110">
        <f>SUM(G78:G79)</f>
        <v>13500153</v>
      </c>
      <c r="H77" s="110">
        <f>SUM(H78:H79)</f>
        <v>13500153</v>
      </c>
    </row>
    <row r="78" spans="1:8" s="140" customFormat="1" ht="75.75" x14ac:dyDescent="0.25">
      <c r="A78" s="72" t="s">
        <v>169</v>
      </c>
      <c r="B78" s="109" t="s">
        <v>207</v>
      </c>
      <c r="C78" s="109" t="s">
        <v>232</v>
      </c>
      <c r="D78" s="100">
        <v>9910000000</v>
      </c>
      <c r="E78" s="109" t="s">
        <v>178</v>
      </c>
      <c r="F78" s="110">
        <f>'Приложение 3'!F111</f>
        <v>10510186.810000001</v>
      </c>
      <c r="G78" s="110">
        <f>'Приложение 3'!G111</f>
        <v>10039828</v>
      </c>
      <c r="H78" s="110">
        <f>'Приложение 3'!H111</f>
        <v>10039828</v>
      </c>
    </row>
    <row r="79" spans="1:8" s="140" customFormat="1" ht="30.75" x14ac:dyDescent="0.25">
      <c r="A79" s="72" t="s">
        <v>170</v>
      </c>
      <c r="B79" s="109" t="s">
        <v>207</v>
      </c>
      <c r="C79" s="109" t="s">
        <v>232</v>
      </c>
      <c r="D79" s="100">
        <v>9910000000</v>
      </c>
      <c r="E79" s="109" t="s">
        <v>181</v>
      </c>
      <c r="F79" s="110">
        <f>'Приложение 3'!F112</f>
        <v>3444325</v>
      </c>
      <c r="G79" s="110">
        <f>'Приложение 3'!G112</f>
        <v>3460325</v>
      </c>
      <c r="H79" s="110">
        <f>'Приложение 3'!H112</f>
        <v>3460325</v>
      </c>
    </row>
    <row r="80" spans="1:8" s="140" customFormat="1" x14ac:dyDescent="0.25">
      <c r="A80" s="72" t="s">
        <v>220</v>
      </c>
      <c r="B80" s="109" t="s">
        <v>207</v>
      </c>
      <c r="C80" s="109" t="s">
        <v>232</v>
      </c>
      <c r="D80" s="100">
        <v>9950000000</v>
      </c>
      <c r="E80" s="100"/>
      <c r="F80" s="110">
        <f>F81</f>
        <v>3000000</v>
      </c>
      <c r="G80" s="110">
        <f>G81</f>
        <v>1000000</v>
      </c>
      <c r="H80" s="110">
        <f>H81</f>
        <v>1000000</v>
      </c>
    </row>
    <row r="81" spans="1:8" s="140" customFormat="1" ht="30.75" x14ac:dyDescent="0.25">
      <c r="A81" s="72" t="s">
        <v>170</v>
      </c>
      <c r="B81" s="109" t="s">
        <v>207</v>
      </c>
      <c r="C81" s="109" t="s">
        <v>232</v>
      </c>
      <c r="D81" s="100">
        <v>9950000000</v>
      </c>
      <c r="E81" s="100">
        <v>200</v>
      </c>
      <c r="F81" s="110">
        <f>'Приложение 3'!F116+'Приложение 3'!F118</f>
        <v>3000000</v>
      </c>
      <c r="G81" s="110">
        <f>'Приложение 3'!G116+'Приложение 3'!G118</f>
        <v>1000000</v>
      </c>
      <c r="H81" s="110">
        <f>'Приложение 3'!H116+'Приложение 3'!H118</f>
        <v>1000000</v>
      </c>
    </row>
    <row r="82" spans="1:8" s="141" customFormat="1" x14ac:dyDescent="0.25">
      <c r="A82" s="82" t="s">
        <v>235</v>
      </c>
      <c r="B82" s="107" t="s">
        <v>211</v>
      </c>
      <c r="C82" s="107"/>
      <c r="D82" s="107"/>
      <c r="E82" s="107"/>
      <c r="F82" s="108">
        <f>F83+F87+F99+F103+F109</f>
        <v>357252450.33999997</v>
      </c>
      <c r="G82" s="108">
        <f>G83+G87+G99+G103+G109</f>
        <v>217082963.60000002</v>
      </c>
      <c r="H82" s="108">
        <f>H83+H87+H99+H103+H109</f>
        <v>129981057.81</v>
      </c>
    </row>
    <row r="83" spans="1:8" s="141" customFormat="1" x14ac:dyDescent="0.25">
      <c r="A83" s="82" t="s">
        <v>236</v>
      </c>
      <c r="B83" s="107" t="s">
        <v>211</v>
      </c>
      <c r="C83" s="107" t="s">
        <v>197</v>
      </c>
      <c r="D83" s="107"/>
      <c r="E83" s="107"/>
      <c r="F83" s="108">
        <f t="shared" ref="F83:H85" si="8">F84</f>
        <v>287876.25</v>
      </c>
      <c r="G83" s="108">
        <f t="shared" si="8"/>
        <v>287876.25</v>
      </c>
      <c r="H83" s="108">
        <f t="shared" si="8"/>
        <v>287876.25</v>
      </c>
    </row>
    <row r="84" spans="1:8" s="141" customFormat="1" x14ac:dyDescent="0.25">
      <c r="A84" s="82" t="s">
        <v>200</v>
      </c>
      <c r="B84" s="107" t="s">
        <v>211</v>
      </c>
      <c r="C84" s="107" t="s">
        <v>197</v>
      </c>
      <c r="D84" s="107">
        <v>9900000000</v>
      </c>
      <c r="E84" s="107"/>
      <c r="F84" s="108">
        <f t="shared" si="8"/>
        <v>287876.25</v>
      </c>
      <c r="G84" s="108">
        <f t="shared" si="8"/>
        <v>287876.25</v>
      </c>
      <c r="H84" s="108">
        <f t="shared" si="8"/>
        <v>287876.25</v>
      </c>
    </row>
    <row r="85" spans="1:8" s="141" customFormat="1" ht="30.75" x14ac:dyDescent="0.25">
      <c r="A85" s="72" t="s">
        <v>202</v>
      </c>
      <c r="B85" s="109" t="s">
        <v>211</v>
      </c>
      <c r="C85" s="109" t="s">
        <v>197</v>
      </c>
      <c r="D85" s="109" t="s">
        <v>203</v>
      </c>
      <c r="E85" s="109"/>
      <c r="F85" s="110">
        <f t="shared" si="8"/>
        <v>287876.25</v>
      </c>
      <c r="G85" s="110">
        <f t="shared" si="8"/>
        <v>287876.25</v>
      </c>
      <c r="H85" s="110">
        <f t="shared" si="8"/>
        <v>287876.25</v>
      </c>
    </row>
    <row r="86" spans="1:8" s="141" customFormat="1" ht="75.75" x14ac:dyDescent="0.25">
      <c r="A86" s="72" t="s">
        <v>169</v>
      </c>
      <c r="B86" s="109" t="s">
        <v>211</v>
      </c>
      <c r="C86" s="109" t="s">
        <v>197</v>
      </c>
      <c r="D86" s="109" t="s">
        <v>203</v>
      </c>
      <c r="E86" s="109" t="s">
        <v>178</v>
      </c>
      <c r="F86" s="110">
        <f>'Приложение 3'!F124</f>
        <v>287876.25</v>
      </c>
      <c r="G86" s="110">
        <f>'Приложение 3'!G124</f>
        <v>287876.25</v>
      </c>
      <c r="H86" s="110">
        <f>'Приложение 3'!H124</f>
        <v>287876.25</v>
      </c>
    </row>
    <row r="87" spans="1:8" s="141" customFormat="1" x14ac:dyDescent="0.25">
      <c r="A87" s="82" t="s">
        <v>237</v>
      </c>
      <c r="B87" s="107" t="s">
        <v>211</v>
      </c>
      <c r="C87" s="107" t="s">
        <v>238</v>
      </c>
      <c r="D87" s="107"/>
      <c r="E87" s="107"/>
      <c r="F87" s="108">
        <f>F88+F94</f>
        <v>133784203.58</v>
      </c>
      <c r="G87" s="108">
        <f>G88+G94</f>
        <v>58383719.510000005</v>
      </c>
      <c r="H87" s="108">
        <f>H88+H94</f>
        <v>92454747.060000002</v>
      </c>
    </row>
    <row r="88" spans="1:8" s="141" customFormat="1" ht="63" x14ac:dyDescent="0.25">
      <c r="A88" s="82" t="s">
        <v>177</v>
      </c>
      <c r="B88" s="107" t="s">
        <v>211</v>
      </c>
      <c r="C88" s="107" t="s">
        <v>238</v>
      </c>
      <c r="D88" s="107" t="s">
        <v>486</v>
      </c>
      <c r="E88" s="107"/>
      <c r="F88" s="108">
        <f>F89+F91</f>
        <v>127697345.34</v>
      </c>
      <c r="G88" s="108">
        <f>G89+G91</f>
        <v>52756861.270000003</v>
      </c>
      <c r="H88" s="108">
        <f>H89+H91</f>
        <v>86827888.820000008</v>
      </c>
    </row>
    <row r="89" spans="1:8" s="140" customFormat="1" x14ac:dyDescent="0.25">
      <c r="A89" s="72" t="s">
        <v>478</v>
      </c>
      <c r="B89" s="109" t="s">
        <v>211</v>
      </c>
      <c r="C89" s="109" t="s">
        <v>238</v>
      </c>
      <c r="D89" s="109" t="s">
        <v>487</v>
      </c>
      <c r="E89" s="109"/>
      <c r="F89" s="110">
        <f>F90</f>
        <v>125132800.37</v>
      </c>
      <c r="G89" s="110">
        <f>G90</f>
        <v>50382480.370000005</v>
      </c>
      <c r="H89" s="110">
        <f>H90</f>
        <v>77992918.430000007</v>
      </c>
    </row>
    <row r="90" spans="1:8" s="140" customFormat="1" x14ac:dyDescent="0.25">
      <c r="A90" s="70" t="s">
        <v>172</v>
      </c>
      <c r="B90" s="109" t="s">
        <v>211</v>
      </c>
      <c r="C90" s="109" t="s">
        <v>238</v>
      </c>
      <c r="D90" s="109" t="s">
        <v>487</v>
      </c>
      <c r="E90" s="109" t="s">
        <v>179</v>
      </c>
      <c r="F90" s="110">
        <f>50382480.37+28925600+19166000+26658720</f>
        <v>125132800.37</v>
      </c>
      <c r="G90" s="110">
        <v>50382480.370000005</v>
      </c>
      <c r="H90" s="110">
        <v>77992918.430000007</v>
      </c>
    </row>
    <row r="91" spans="1:8" s="141" customFormat="1" x14ac:dyDescent="0.25">
      <c r="A91" s="72" t="s">
        <v>474</v>
      </c>
      <c r="B91" s="109" t="s">
        <v>211</v>
      </c>
      <c r="C91" s="109" t="s">
        <v>238</v>
      </c>
      <c r="D91" s="109" t="s">
        <v>488</v>
      </c>
      <c r="E91" s="109"/>
      <c r="F91" s="110">
        <f>SUBTOTAL(9,F92:F93)</f>
        <v>2564544.9699999997</v>
      </c>
      <c r="G91" s="110">
        <f>SUBTOTAL(9,G92:G93)</f>
        <v>2374380.9</v>
      </c>
      <c r="H91" s="110">
        <f>SUBTOTAL(9,H92:H93)</f>
        <v>8834970.3900000006</v>
      </c>
    </row>
    <row r="92" spans="1:8" s="141" customFormat="1" ht="75.75" x14ac:dyDescent="0.25">
      <c r="A92" s="72" t="s">
        <v>169</v>
      </c>
      <c r="B92" s="109" t="s">
        <v>211</v>
      </c>
      <c r="C92" s="109" t="s">
        <v>238</v>
      </c>
      <c r="D92" s="109" t="s">
        <v>488</v>
      </c>
      <c r="E92" s="109" t="s">
        <v>178</v>
      </c>
      <c r="F92" s="111">
        <f>1167894.42+4000</f>
        <v>1171894.42</v>
      </c>
      <c r="G92" s="111">
        <v>1167894.42</v>
      </c>
      <c r="H92" s="111">
        <v>6922204.6600000001</v>
      </c>
    </row>
    <row r="93" spans="1:8" s="141" customFormat="1" ht="30.75" x14ac:dyDescent="0.25">
      <c r="A93" s="70" t="s">
        <v>170</v>
      </c>
      <c r="B93" s="109" t="s">
        <v>211</v>
      </c>
      <c r="C93" s="109" t="s">
        <v>238</v>
      </c>
      <c r="D93" s="109" t="s">
        <v>488</v>
      </c>
      <c r="E93" s="127">
        <v>200</v>
      </c>
      <c r="F93" s="111">
        <f>1206486.48+190164.07-4000</f>
        <v>1392650.55</v>
      </c>
      <c r="G93" s="111">
        <v>1206486.48</v>
      </c>
      <c r="H93" s="111">
        <v>1912765.73</v>
      </c>
    </row>
    <row r="94" spans="1:8" s="141" customFormat="1" x14ac:dyDescent="0.25">
      <c r="A94" s="79" t="s">
        <v>200</v>
      </c>
      <c r="B94" s="107" t="s">
        <v>211</v>
      </c>
      <c r="C94" s="107" t="s">
        <v>238</v>
      </c>
      <c r="D94" s="107">
        <v>9900000000</v>
      </c>
      <c r="E94" s="100"/>
      <c r="F94" s="110">
        <f>F95+F97</f>
        <v>6086858.2400000002</v>
      </c>
      <c r="G94" s="110">
        <f>G95+G97</f>
        <v>5626858.2400000002</v>
      </c>
      <c r="H94" s="110">
        <f>H95+H97</f>
        <v>5626858.2400000002</v>
      </c>
    </row>
    <row r="95" spans="1:8" s="141" customFormat="1" ht="30.75" x14ac:dyDescent="0.25">
      <c r="A95" s="72" t="s">
        <v>202</v>
      </c>
      <c r="B95" s="109" t="s">
        <v>211</v>
      </c>
      <c r="C95" s="109" t="s">
        <v>238</v>
      </c>
      <c r="D95" s="109">
        <v>9910000000</v>
      </c>
      <c r="E95" s="100"/>
      <c r="F95" s="110">
        <f>F96</f>
        <v>5626858.2400000002</v>
      </c>
      <c r="G95" s="110">
        <f>G96</f>
        <v>5626858.2400000002</v>
      </c>
      <c r="H95" s="110">
        <f>H96</f>
        <v>5626858.2400000002</v>
      </c>
    </row>
    <row r="96" spans="1:8" s="141" customFormat="1" ht="75.75" x14ac:dyDescent="0.25">
      <c r="A96" s="70" t="s">
        <v>169</v>
      </c>
      <c r="B96" s="109" t="s">
        <v>211</v>
      </c>
      <c r="C96" s="109" t="s">
        <v>238</v>
      </c>
      <c r="D96" s="109">
        <v>9910000000</v>
      </c>
      <c r="E96" s="100" t="s">
        <v>178</v>
      </c>
      <c r="F96" s="110">
        <f>'Приложение 3'!F129</f>
        <v>5626858.2400000002</v>
      </c>
      <c r="G96" s="110">
        <f>'Приложение 3'!G129</f>
        <v>5626858.2400000002</v>
      </c>
      <c r="H96" s="110">
        <f>'Приложение 3'!H129</f>
        <v>5626858.2400000002</v>
      </c>
    </row>
    <row r="97" spans="1:9" s="141" customFormat="1" x14ac:dyDescent="0.25">
      <c r="A97" s="70" t="s">
        <v>220</v>
      </c>
      <c r="B97" s="109" t="s">
        <v>211</v>
      </c>
      <c r="C97" s="109" t="s">
        <v>238</v>
      </c>
      <c r="D97" s="109" t="s">
        <v>221</v>
      </c>
      <c r="E97" s="100"/>
      <c r="F97" s="110">
        <f>F98</f>
        <v>460000</v>
      </c>
      <c r="G97" s="110">
        <f>G98</f>
        <v>0</v>
      </c>
      <c r="H97" s="110">
        <f>H98</f>
        <v>0</v>
      </c>
    </row>
    <row r="98" spans="1:9" s="141" customFormat="1" x14ac:dyDescent="0.25">
      <c r="A98" s="70" t="s">
        <v>171</v>
      </c>
      <c r="B98" s="109" t="s">
        <v>211</v>
      </c>
      <c r="C98" s="109" t="s">
        <v>238</v>
      </c>
      <c r="D98" s="109" t="s">
        <v>221</v>
      </c>
      <c r="E98" s="100">
        <v>300</v>
      </c>
      <c r="F98" s="110">
        <f>'Приложение 3'!F132</f>
        <v>460000</v>
      </c>
      <c r="G98" s="110">
        <f>'Приложение 3'!G132</f>
        <v>0</v>
      </c>
      <c r="H98" s="110">
        <f>'Приложение 3'!H132</f>
        <v>0</v>
      </c>
    </row>
    <row r="99" spans="1:9" s="141" customFormat="1" x14ac:dyDescent="0.25">
      <c r="A99" s="79" t="s">
        <v>284</v>
      </c>
      <c r="B99" s="107" t="s">
        <v>211</v>
      </c>
      <c r="C99" s="107" t="s">
        <v>255</v>
      </c>
      <c r="D99" s="103"/>
      <c r="E99" s="103"/>
      <c r="F99" s="108">
        <f t="shared" ref="F99:H101" si="9">F100</f>
        <v>19720000</v>
      </c>
      <c r="G99" s="108">
        <f t="shared" si="9"/>
        <v>17150000</v>
      </c>
      <c r="H99" s="108">
        <f t="shared" si="9"/>
        <v>17150000</v>
      </c>
    </row>
    <row r="100" spans="1:9" s="141" customFormat="1" ht="31.5" x14ac:dyDescent="0.25">
      <c r="A100" s="79" t="s">
        <v>180</v>
      </c>
      <c r="B100" s="107" t="s">
        <v>211</v>
      </c>
      <c r="C100" s="107" t="s">
        <v>255</v>
      </c>
      <c r="D100" s="142" t="s">
        <v>492</v>
      </c>
      <c r="E100" s="103"/>
      <c r="F100" s="108">
        <f t="shared" si="9"/>
        <v>19720000</v>
      </c>
      <c r="G100" s="108">
        <f t="shared" si="9"/>
        <v>17150000</v>
      </c>
      <c r="H100" s="108">
        <f t="shared" si="9"/>
        <v>17150000</v>
      </c>
    </row>
    <row r="101" spans="1:9" s="141" customFormat="1" x14ac:dyDescent="0.25">
      <c r="A101" s="70" t="s">
        <v>478</v>
      </c>
      <c r="B101" s="109" t="s">
        <v>211</v>
      </c>
      <c r="C101" s="109" t="s">
        <v>255</v>
      </c>
      <c r="D101" s="143" t="s">
        <v>504</v>
      </c>
      <c r="E101" s="100"/>
      <c r="F101" s="110">
        <f t="shared" si="9"/>
        <v>19720000</v>
      </c>
      <c r="G101" s="110">
        <f t="shared" si="9"/>
        <v>17150000</v>
      </c>
      <c r="H101" s="110">
        <f t="shared" si="9"/>
        <v>17150000</v>
      </c>
    </row>
    <row r="102" spans="1:9" s="141" customFormat="1" ht="30.75" x14ac:dyDescent="0.25">
      <c r="A102" s="72" t="s">
        <v>170</v>
      </c>
      <c r="B102" s="109" t="s">
        <v>211</v>
      </c>
      <c r="C102" s="109" t="s">
        <v>255</v>
      </c>
      <c r="D102" s="143" t="s">
        <v>504</v>
      </c>
      <c r="E102" s="100">
        <v>800</v>
      </c>
      <c r="F102" s="110">
        <v>19720000</v>
      </c>
      <c r="G102" s="110">
        <v>17150000</v>
      </c>
      <c r="H102" s="110">
        <v>17150000</v>
      </c>
    </row>
    <row r="103" spans="1:9" s="141" customFormat="1" x14ac:dyDescent="0.25">
      <c r="A103" s="79" t="s">
        <v>285</v>
      </c>
      <c r="B103" s="107" t="s">
        <v>211</v>
      </c>
      <c r="C103" s="107" t="s">
        <v>253</v>
      </c>
      <c r="D103" s="103"/>
      <c r="E103" s="103"/>
      <c r="F103" s="108">
        <f t="shared" ref="F103:H105" si="10">F104</f>
        <v>115298540.59</v>
      </c>
      <c r="G103" s="108">
        <f t="shared" si="10"/>
        <v>136628367.84</v>
      </c>
      <c r="H103" s="108">
        <f t="shared" si="10"/>
        <v>15455434.5</v>
      </c>
    </row>
    <row r="104" spans="1:9" s="141" customFormat="1" ht="31.5" x14ac:dyDescent="0.25">
      <c r="A104" s="79" t="s">
        <v>180</v>
      </c>
      <c r="B104" s="107" t="s">
        <v>211</v>
      </c>
      <c r="C104" s="107" t="s">
        <v>253</v>
      </c>
      <c r="D104" s="142" t="s">
        <v>492</v>
      </c>
      <c r="E104" s="103"/>
      <c r="F104" s="108">
        <f>F105+F107</f>
        <v>115298540.59</v>
      </c>
      <c r="G104" s="108">
        <f>G105+G107</f>
        <v>136628367.84</v>
      </c>
      <c r="H104" s="108">
        <f>H105+H107</f>
        <v>15455434.5</v>
      </c>
    </row>
    <row r="105" spans="1:9" s="140" customFormat="1" x14ac:dyDescent="0.25">
      <c r="A105" s="70" t="s">
        <v>478</v>
      </c>
      <c r="B105" s="109" t="s">
        <v>211</v>
      </c>
      <c r="C105" s="109" t="s">
        <v>253</v>
      </c>
      <c r="D105" s="143" t="s">
        <v>504</v>
      </c>
      <c r="E105" s="100"/>
      <c r="F105" s="110">
        <f>F106</f>
        <v>94807966.650000006</v>
      </c>
      <c r="G105" s="110">
        <f t="shared" si="10"/>
        <v>136628367.84</v>
      </c>
      <c r="H105" s="110">
        <f t="shared" si="10"/>
        <v>15455434.5</v>
      </c>
    </row>
    <row r="106" spans="1:9" s="141" customFormat="1" ht="30.75" x14ac:dyDescent="0.25">
      <c r="A106" s="72" t="s">
        <v>170</v>
      </c>
      <c r="B106" s="109" t="s">
        <v>211</v>
      </c>
      <c r="C106" s="109" t="s">
        <v>253</v>
      </c>
      <c r="D106" s="143" t="s">
        <v>504</v>
      </c>
      <c r="E106" s="100">
        <v>200</v>
      </c>
      <c r="F106" s="110">
        <f>80280000+176600+25173172.36+178.05+39604387.84-39604387.84+9668590.18-178.05-10821805.71-9668590.18</f>
        <v>94807966.650000006</v>
      </c>
      <c r="G106" s="110">
        <f>15455434.5+40897251.68+80275681.66</f>
        <v>136628367.84</v>
      </c>
      <c r="H106" s="110">
        <v>15455434.5</v>
      </c>
    </row>
    <row r="107" spans="1:9" s="141" customFormat="1" x14ac:dyDescent="0.25">
      <c r="A107" s="149" t="s">
        <v>474</v>
      </c>
      <c r="B107" s="109" t="s">
        <v>211</v>
      </c>
      <c r="C107" s="109" t="s">
        <v>253</v>
      </c>
      <c r="D107" s="143" t="s">
        <v>624</v>
      </c>
      <c r="E107" s="100"/>
      <c r="F107" s="110">
        <f>F108</f>
        <v>20490573.940000001</v>
      </c>
      <c r="G107" s="110">
        <f>G108</f>
        <v>0</v>
      </c>
      <c r="H107" s="110">
        <f>H108</f>
        <v>0</v>
      </c>
    </row>
    <row r="108" spans="1:9" s="141" customFormat="1" ht="30.75" x14ac:dyDescent="0.25">
      <c r="A108" s="72" t="s">
        <v>170</v>
      </c>
      <c r="B108" s="109" t="s">
        <v>211</v>
      </c>
      <c r="C108" s="109" t="s">
        <v>253</v>
      </c>
      <c r="D108" s="143" t="s">
        <v>624</v>
      </c>
      <c r="E108" s="100">
        <v>200</v>
      </c>
      <c r="F108" s="110">
        <f>178.05+9668590.18+10821805.71</f>
        <v>20490573.940000001</v>
      </c>
      <c r="G108" s="110">
        <v>0</v>
      </c>
      <c r="H108" s="110">
        <v>0</v>
      </c>
    </row>
    <row r="109" spans="1:9" s="141" customFormat="1" ht="31.5" x14ac:dyDescent="0.25">
      <c r="A109" s="79" t="s">
        <v>286</v>
      </c>
      <c r="B109" s="107" t="s">
        <v>211</v>
      </c>
      <c r="C109" s="107" t="s">
        <v>287</v>
      </c>
      <c r="D109" s="103"/>
      <c r="E109" s="103"/>
      <c r="F109" s="108">
        <f>F110+F113</f>
        <v>88161829.920000002</v>
      </c>
      <c r="G109" s="108">
        <f>G110+G113</f>
        <v>4633000</v>
      </c>
      <c r="H109" s="108">
        <f>H110+H113</f>
        <v>4633000</v>
      </c>
    </row>
    <row r="110" spans="1:9" s="140" customFormat="1" ht="31.5" x14ac:dyDescent="0.25">
      <c r="A110" s="79" t="s">
        <v>176</v>
      </c>
      <c r="B110" s="107" t="s">
        <v>211</v>
      </c>
      <c r="C110" s="107" t="s">
        <v>287</v>
      </c>
      <c r="D110" s="142" t="s">
        <v>484</v>
      </c>
      <c r="E110" s="103"/>
      <c r="F110" s="108">
        <f t="shared" ref="F110:H111" si="11">F111</f>
        <v>12550000</v>
      </c>
      <c r="G110" s="108">
        <f t="shared" si="11"/>
        <v>4633000</v>
      </c>
      <c r="H110" s="108">
        <f t="shared" si="11"/>
        <v>4633000</v>
      </c>
      <c r="I110" s="141"/>
    </row>
    <row r="111" spans="1:9" s="140" customFormat="1" x14ac:dyDescent="0.25">
      <c r="A111" s="70" t="s">
        <v>478</v>
      </c>
      <c r="B111" s="109" t="s">
        <v>211</v>
      </c>
      <c r="C111" s="109" t="s">
        <v>287</v>
      </c>
      <c r="D111" s="143" t="s">
        <v>485</v>
      </c>
      <c r="E111" s="100"/>
      <c r="F111" s="110">
        <f>F112</f>
        <v>12550000</v>
      </c>
      <c r="G111" s="110">
        <f t="shared" si="11"/>
        <v>4633000</v>
      </c>
      <c r="H111" s="110">
        <f t="shared" si="11"/>
        <v>4633000</v>
      </c>
      <c r="I111" s="141"/>
    </row>
    <row r="112" spans="1:9" s="140" customFormat="1" x14ac:dyDescent="0.25">
      <c r="A112" s="70" t="s">
        <v>172</v>
      </c>
      <c r="B112" s="109" t="s">
        <v>211</v>
      </c>
      <c r="C112" s="109" t="s">
        <v>287</v>
      </c>
      <c r="D112" s="143" t="s">
        <v>485</v>
      </c>
      <c r="E112" s="100">
        <v>800</v>
      </c>
      <c r="F112" s="110">
        <v>12550000</v>
      </c>
      <c r="G112" s="110">
        <v>4633000</v>
      </c>
      <c r="H112" s="110">
        <v>4633000</v>
      </c>
      <c r="I112" s="141"/>
    </row>
    <row r="113" spans="1:9" s="141" customFormat="1" x14ac:dyDescent="0.25">
      <c r="A113" s="82" t="s">
        <v>200</v>
      </c>
      <c r="B113" s="107" t="s">
        <v>211</v>
      </c>
      <c r="C113" s="107" t="s">
        <v>287</v>
      </c>
      <c r="D113" s="142" t="s">
        <v>201</v>
      </c>
      <c r="E113" s="103"/>
      <c r="F113" s="108">
        <f t="shared" ref="F113:H114" si="12">F114</f>
        <v>75611829.920000002</v>
      </c>
      <c r="G113" s="108">
        <f t="shared" si="12"/>
        <v>0</v>
      </c>
      <c r="H113" s="108">
        <f t="shared" si="12"/>
        <v>0</v>
      </c>
    </row>
    <row r="114" spans="1:9" s="140" customFormat="1" x14ac:dyDescent="0.25">
      <c r="A114" s="72" t="s">
        <v>220</v>
      </c>
      <c r="B114" s="109" t="s">
        <v>211</v>
      </c>
      <c r="C114" s="109" t="s">
        <v>287</v>
      </c>
      <c r="D114" s="143" t="s">
        <v>221</v>
      </c>
      <c r="E114" s="100"/>
      <c r="F114" s="110">
        <f t="shared" si="12"/>
        <v>75611829.920000002</v>
      </c>
      <c r="G114" s="110">
        <f t="shared" si="12"/>
        <v>0</v>
      </c>
      <c r="H114" s="110">
        <f t="shared" si="12"/>
        <v>0</v>
      </c>
      <c r="I114" s="141"/>
    </row>
    <row r="115" spans="1:9" s="140" customFormat="1" x14ac:dyDescent="0.25">
      <c r="A115" s="70" t="s">
        <v>172</v>
      </c>
      <c r="B115" s="109" t="s">
        <v>211</v>
      </c>
      <c r="C115" s="109" t="s">
        <v>287</v>
      </c>
      <c r="D115" s="143" t="s">
        <v>221</v>
      </c>
      <c r="E115" s="100">
        <v>800</v>
      </c>
      <c r="F115" s="110">
        <f>'Приложение 3'!F137</f>
        <v>75611829.920000002</v>
      </c>
      <c r="G115" s="110">
        <f>'Приложение 3'!G137</f>
        <v>0</v>
      </c>
      <c r="H115" s="110">
        <f>'Приложение 3'!H137</f>
        <v>0</v>
      </c>
      <c r="I115" s="141"/>
    </row>
    <row r="116" spans="1:9" s="140" customFormat="1" x14ac:dyDescent="0.25">
      <c r="A116" s="82" t="s">
        <v>240</v>
      </c>
      <c r="B116" s="107" t="s">
        <v>238</v>
      </c>
      <c r="C116" s="107"/>
      <c r="D116" s="142"/>
      <c r="E116" s="103"/>
      <c r="F116" s="108">
        <f>F117</f>
        <v>12617396.949999999</v>
      </c>
      <c r="G116" s="108">
        <f>G117</f>
        <v>0</v>
      </c>
      <c r="H116" s="108">
        <f>H117</f>
        <v>0</v>
      </c>
      <c r="I116" s="141"/>
    </row>
    <row r="117" spans="1:9" s="140" customFormat="1" x14ac:dyDescent="0.25">
      <c r="A117" s="82" t="s">
        <v>244</v>
      </c>
      <c r="B117" s="107" t="s">
        <v>238</v>
      </c>
      <c r="C117" s="107" t="s">
        <v>207</v>
      </c>
      <c r="D117" s="142"/>
      <c r="E117" s="103"/>
      <c r="F117" s="108">
        <f>F118</f>
        <v>12617396.949999999</v>
      </c>
      <c r="G117" s="108">
        <f t="shared" ref="G117:H119" si="13">G118</f>
        <v>0</v>
      </c>
      <c r="H117" s="108">
        <f t="shared" si="13"/>
        <v>0</v>
      </c>
      <c r="I117" s="141"/>
    </row>
    <row r="118" spans="1:9" s="140" customFormat="1" x14ac:dyDescent="0.25">
      <c r="A118" s="82" t="s">
        <v>200</v>
      </c>
      <c r="B118" s="107" t="s">
        <v>238</v>
      </c>
      <c r="C118" s="107" t="s">
        <v>207</v>
      </c>
      <c r="D118" s="142" t="s">
        <v>201</v>
      </c>
      <c r="E118" s="103"/>
      <c r="F118" s="108">
        <f>F119</f>
        <v>12617396.949999999</v>
      </c>
      <c r="G118" s="108">
        <f t="shared" si="13"/>
        <v>0</v>
      </c>
      <c r="H118" s="108">
        <f t="shared" si="13"/>
        <v>0</v>
      </c>
      <c r="I118" s="141"/>
    </row>
    <row r="119" spans="1:9" s="140" customFormat="1" x14ac:dyDescent="0.25">
      <c r="A119" s="72" t="s">
        <v>220</v>
      </c>
      <c r="B119" s="109" t="s">
        <v>238</v>
      </c>
      <c r="C119" s="109" t="s">
        <v>207</v>
      </c>
      <c r="D119" s="143" t="s">
        <v>221</v>
      </c>
      <c r="E119" s="100"/>
      <c r="F119" s="110">
        <f>F120</f>
        <v>12617396.949999999</v>
      </c>
      <c r="G119" s="110">
        <f t="shared" si="13"/>
        <v>0</v>
      </c>
      <c r="H119" s="110">
        <f t="shared" si="13"/>
        <v>0</v>
      </c>
      <c r="I119" s="141"/>
    </row>
    <row r="120" spans="1:9" s="140" customFormat="1" ht="30.75" x14ac:dyDescent="0.25">
      <c r="A120" s="72" t="s">
        <v>170</v>
      </c>
      <c r="B120" s="109" t="s">
        <v>238</v>
      </c>
      <c r="C120" s="109" t="s">
        <v>207</v>
      </c>
      <c r="D120" s="143" t="s">
        <v>221</v>
      </c>
      <c r="E120" s="100">
        <v>200</v>
      </c>
      <c r="F120" s="110">
        <f>'Приложение 3'!F149</f>
        <v>12617396.949999999</v>
      </c>
      <c r="G120" s="110">
        <f>'Приложение 3'!G149</f>
        <v>0</v>
      </c>
      <c r="H120" s="110">
        <f>'Приложение 3'!H149</f>
        <v>0</v>
      </c>
      <c r="I120" s="141"/>
    </row>
    <row r="121" spans="1:9" s="141" customFormat="1" x14ac:dyDescent="0.25">
      <c r="A121" s="79" t="s">
        <v>288</v>
      </c>
      <c r="B121" s="107" t="s">
        <v>215</v>
      </c>
      <c r="C121" s="107"/>
      <c r="D121" s="103"/>
      <c r="E121" s="103"/>
      <c r="F121" s="108">
        <f t="shared" ref="F121:H123" si="14">F122</f>
        <v>18677135.25</v>
      </c>
      <c r="G121" s="108">
        <f t="shared" si="14"/>
        <v>29482310.27</v>
      </c>
      <c r="H121" s="108">
        <f t="shared" si="14"/>
        <v>30661602.690000001</v>
      </c>
    </row>
    <row r="122" spans="1:9" s="141" customFormat="1" ht="31.5" x14ac:dyDescent="0.25">
      <c r="A122" s="82" t="s">
        <v>289</v>
      </c>
      <c r="B122" s="107" t="s">
        <v>215</v>
      </c>
      <c r="C122" s="107" t="s">
        <v>207</v>
      </c>
      <c r="D122" s="142"/>
      <c r="E122" s="103"/>
      <c r="F122" s="108">
        <f t="shared" si="14"/>
        <v>18677135.25</v>
      </c>
      <c r="G122" s="108">
        <f t="shared" si="14"/>
        <v>29482310.27</v>
      </c>
      <c r="H122" s="108">
        <f t="shared" si="14"/>
        <v>30661602.690000001</v>
      </c>
    </row>
    <row r="123" spans="1:9" s="141" customFormat="1" ht="31.5" x14ac:dyDescent="0.25">
      <c r="A123" s="79" t="s">
        <v>290</v>
      </c>
      <c r="B123" s="107" t="s">
        <v>215</v>
      </c>
      <c r="C123" s="107" t="s">
        <v>207</v>
      </c>
      <c r="D123" s="144">
        <v>7100000000</v>
      </c>
      <c r="E123" s="145"/>
      <c r="F123" s="108">
        <f>F124</f>
        <v>18677135.25</v>
      </c>
      <c r="G123" s="108">
        <f t="shared" si="14"/>
        <v>29482310.27</v>
      </c>
      <c r="H123" s="108">
        <f t="shared" si="14"/>
        <v>30661602.690000001</v>
      </c>
    </row>
    <row r="124" spans="1:9" s="141" customFormat="1" x14ac:dyDescent="0.25">
      <c r="A124" s="70" t="s">
        <v>478</v>
      </c>
      <c r="B124" s="109" t="s">
        <v>215</v>
      </c>
      <c r="C124" s="109" t="s">
        <v>207</v>
      </c>
      <c r="D124" s="127">
        <v>7130000000</v>
      </c>
      <c r="E124" s="146"/>
      <c r="F124" s="110">
        <f>SUM(F125:F126)</f>
        <v>18677135.25</v>
      </c>
      <c r="G124" s="110">
        <f>SUM(G125:G126)</f>
        <v>29482310.27</v>
      </c>
      <c r="H124" s="110">
        <f>SUM(H125:H126)</f>
        <v>30661602.690000001</v>
      </c>
    </row>
    <row r="125" spans="1:9" s="141" customFormat="1" ht="30.75" x14ac:dyDescent="0.25">
      <c r="A125" s="70" t="s">
        <v>170</v>
      </c>
      <c r="B125" s="109" t="s">
        <v>215</v>
      </c>
      <c r="C125" s="109" t="s">
        <v>207</v>
      </c>
      <c r="D125" s="127">
        <v>7130000000</v>
      </c>
      <c r="E125" s="127">
        <v>200</v>
      </c>
      <c r="F125" s="110">
        <f>28293963.79+2044898.88-11661727.42-519104.4-558148.8-5725114.2</f>
        <v>11874767.850000001</v>
      </c>
      <c r="G125" s="110">
        <v>29482310.27</v>
      </c>
      <c r="H125" s="110">
        <v>30661602.690000001</v>
      </c>
    </row>
    <row r="126" spans="1:9" s="141" customFormat="1" x14ac:dyDescent="0.25">
      <c r="A126" s="162" t="s">
        <v>273</v>
      </c>
      <c r="B126" s="109" t="s">
        <v>215</v>
      </c>
      <c r="C126" s="109" t="s">
        <v>207</v>
      </c>
      <c r="D126" s="127">
        <v>7130000000</v>
      </c>
      <c r="E126" s="127">
        <v>500</v>
      </c>
      <c r="F126" s="110">
        <f>519104.4+558148.8+5725114.2</f>
        <v>6802367.4000000004</v>
      </c>
      <c r="G126" s="110">
        <v>0</v>
      </c>
      <c r="H126" s="110">
        <v>0</v>
      </c>
    </row>
    <row r="127" spans="1:9" s="141" customFormat="1" x14ac:dyDescent="0.25">
      <c r="A127" s="79" t="s">
        <v>247</v>
      </c>
      <c r="B127" s="107" t="s">
        <v>248</v>
      </c>
      <c r="C127" s="107"/>
      <c r="D127" s="103"/>
      <c r="E127" s="103"/>
      <c r="F127" s="108">
        <f>F128+F139+F161+F178+F187</f>
        <v>1477543505.9299998</v>
      </c>
      <c r="G127" s="108">
        <f>G128+G139+G161+G178+G187</f>
        <v>1210252258.7800002</v>
      </c>
      <c r="H127" s="108">
        <f>H128+H139+H161+H178+H187</f>
        <v>1210623970.7800002</v>
      </c>
    </row>
    <row r="128" spans="1:9" s="141" customFormat="1" x14ac:dyDescent="0.25">
      <c r="A128" s="79" t="s">
        <v>249</v>
      </c>
      <c r="B128" s="107" t="s">
        <v>248</v>
      </c>
      <c r="C128" s="107" t="s">
        <v>197</v>
      </c>
      <c r="D128" s="103"/>
      <c r="E128" s="103"/>
      <c r="F128" s="108">
        <f>F129+F135</f>
        <v>385358731.43999994</v>
      </c>
      <c r="G128" s="108">
        <f>G129+G135</f>
        <v>385758267.55000001</v>
      </c>
      <c r="H128" s="108">
        <f>H129+H135</f>
        <v>385471979.55000001</v>
      </c>
    </row>
    <row r="129" spans="1:8" s="148" customFormat="1" x14ac:dyDescent="0.25">
      <c r="A129" s="79" t="s">
        <v>168</v>
      </c>
      <c r="B129" s="107" t="s">
        <v>248</v>
      </c>
      <c r="C129" s="107" t="s">
        <v>197</v>
      </c>
      <c r="D129" s="142" t="s">
        <v>475</v>
      </c>
      <c r="E129" s="103"/>
      <c r="F129" s="108">
        <f>F130</f>
        <v>341701672.95999998</v>
      </c>
      <c r="G129" s="108">
        <f>G130</f>
        <v>378147788.55000001</v>
      </c>
      <c r="H129" s="108">
        <f>H130</f>
        <v>378147788.55000001</v>
      </c>
    </row>
    <row r="130" spans="1:8" s="2" customFormat="1" ht="15" x14ac:dyDescent="0.2">
      <c r="A130" s="149" t="s">
        <v>474</v>
      </c>
      <c r="B130" s="109" t="s">
        <v>248</v>
      </c>
      <c r="C130" s="109" t="s">
        <v>197</v>
      </c>
      <c r="D130" s="143" t="s">
        <v>476</v>
      </c>
      <c r="E130" s="100"/>
      <c r="F130" s="110">
        <f>SUM(F131:F134)</f>
        <v>341701672.95999998</v>
      </c>
      <c r="G130" s="110">
        <f>SUM(G131:G134)</f>
        <v>378147788.55000001</v>
      </c>
      <c r="H130" s="110">
        <f>SUM(H131:H134)</f>
        <v>378147788.55000001</v>
      </c>
    </row>
    <row r="131" spans="1:8" s="148" customFormat="1" ht="75" x14ac:dyDescent="0.2">
      <c r="A131" s="70" t="s">
        <v>169</v>
      </c>
      <c r="B131" s="109" t="s">
        <v>248</v>
      </c>
      <c r="C131" s="109" t="s">
        <v>197</v>
      </c>
      <c r="D131" s="143" t="s">
        <v>476</v>
      </c>
      <c r="E131" s="100">
        <v>100</v>
      </c>
      <c r="F131" s="111">
        <f>168516685.2-369900.08-40945-2105.67+2160436.83+114942-110410+398320.3-2000-82000-322611.58-513876-660663.71-422630.6+995105.74+275651.92-507136.1</f>
        <v>169426863.25</v>
      </c>
      <c r="G131" s="111">
        <v>175982975</v>
      </c>
      <c r="H131" s="111">
        <v>175982975</v>
      </c>
    </row>
    <row r="132" spans="1:8" s="148" customFormat="1" ht="30" x14ac:dyDescent="0.2">
      <c r="A132" s="72" t="s">
        <v>170</v>
      </c>
      <c r="B132" s="109" t="s">
        <v>248</v>
      </c>
      <c r="C132" s="109" t="s">
        <v>197</v>
      </c>
      <c r="D132" s="143" t="s">
        <v>476</v>
      </c>
      <c r="E132" s="100">
        <v>200</v>
      </c>
      <c r="F132" s="111">
        <f>180793234.92-233200+1120415-1183758.8-310221-1631850-243353.78-149000+143059.7+82000-132843-161366.81-5036942.04-260823.2-154573.25-400613-200000-443534.56-184052.22-456000-1137000-1178500-480044.7</f>
        <v>168161033.25999999</v>
      </c>
      <c r="G132" s="111">
        <v>198005948.69999999</v>
      </c>
      <c r="H132" s="111">
        <v>198005948.69999999</v>
      </c>
    </row>
    <row r="133" spans="1:8" s="148" customFormat="1" ht="15" x14ac:dyDescent="0.2">
      <c r="A133" s="70" t="s">
        <v>171</v>
      </c>
      <c r="B133" s="109" t="s">
        <v>248</v>
      </c>
      <c r="C133" s="109" t="s">
        <v>197</v>
      </c>
      <c r="D133" s="143" t="s">
        <v>476</v>
      </c>
      <c r="E133" s="100">
        <v>300</v>
      </c>
      <c r="F133" s="111">
        <f>369900.08+40945+2105.67+110410</f>
        <v>523360.75</v>
      </c>
      <c r="G133" s="111">
        <v>0</v>
      </c>
      <c r="H133" s="111">
        <v>0</v>
      </c>
    </row>
    <row r="134" spans="1:8" s="141" customFormat="1" x14ac:dyDescent="0.25">
      <c r="A134" s="70" t="s">
        <v>172</v>
      </c>
      <c r="B134" s="109" t="s">
        <v>248</v>
      </c>
      <c r="C134" s="109" t="s">
        <v>197</v>
      </c>
      <c r="D134" s="143" t="s">
        <v>476</v>
      </c>
      <c r="E134" s="100">
        <v>800</v>
      </c>
      <c r="F134" s="111">
        <f>4158864.85-574471.59+2000+132843-90820.56-38000</f>
        <v>3590415.7</v>
      </c>
      <c r="G134" s="111">
        <v>4158864.8499999996</v>
      </c>
      <c r="H134" s="111">
        <v>4158864.8499999996</v>
      </c>
    </row>
    <row r="135" spans="1:8" s="141" customFormat="1" x14ac:dyDescent="0.25">
      <c r="A135" s="82" t="s">
        <v>200</v>
      </c>
      <c r="B135" s="107" t="s">
        <v>248</v>
      </c>
      <c r="C135" s="107" t="s">
        <v>197</v>
      </c>
      <c r="D135" s="115" t="s">
        <v>201</v>
      </c>
      <c r="E135" s="103"/>
      <c r="F135" s="108">
        <f>F136</f>
        <v>43657058.479999989</v>
      </c>
      <c r="G135" s="108">
        <f>G136</f>
        <v>7610479</v>
      </c>
      <c r="H135" s="108">
        <f>H136</f>
        <v>7324191</v>
      </c>
    </row>
    <row r="136" spans="1:8" s="141" customFormat="1" x14ac:dyDescent="0.25">
      <c r="A136" s="72" t="s">
        <v>220</v>
      </c>
      <c r="B136" s="109" t="s">
        <v>248</v>
      </c>
      <c r="C136" s="109" t="s">
        <v>197</v>
      </c>
      <c r="D136" s="114" t="s">
        <v>221</v>
      </c>
      <c r="E136" s="100"/>
      <c r="F136" s="110">
        <f>F138+F137</f>
        <v>43657058.479999989</v>
      </c>
      <c r="G136" s="110">
        <f>G138+G137</f>
        <v>7610479</v>
      </c>
      <c r="H136" s="110">
        <f>H138+H137</f>
        <v>7324191</v>
      </c>
    </row>
    <row r="137" spans="1:8" s="141" customFormat="1" ht="30.75" x14ac:dyDescent="0.25">
      <c r="A137" s="72" t="s">
        <v>170</v>
      </c>
      <c r="B137" s="109" t="s">
        <v>248</v>
      </c>
      <c r="C137" s="109" t="s">
        <v>197</v>
      </c>
      <c r="D137" s="114" t="s">
        <v>221</v>
      </c>
      <c r="E137" s="100">
        <v>200</v>
      </c>
      <c r="F137" s="110">
        <f>'Приложение 3'!F155</f>
        <v>35760292.479999989</v>
      </c>
      <c r="G137" s="110">
        <f>'Приложение 3'!G155</f>
        <v>0</v>
      </c>
      <c r="H137" s="110">
        <f>'Приложение 3'!H155</f>
        <v>0</v>
      </c>
    </row>
    <row r="138" spans="1:8" s="141" customFormat="1" x14ac:dyDescent="0.25">
      <c r="A138" s="70" t="s">
        <v>172</v>
      </c>
      <c r="B138" s="109" t="s">
        <v>248</v>
      </c>
      <c r="C138" s="109" t="s">
        <v>197</v>
      </c>
      <c r="D138" s="114" t="s">
        <v>221</v>
      </c>
      <c r="E138" s="100">
        <v>800</v>
      </c>
      <c r="F138" s="110">
        <f>'Приложение 3'!F156</f>
        <v>7896766</v>
      </c>
      <c r="G138" s="110">
        <f>'Приложение 3'!G156</f>
        <v>7610479</v>
      </c>
      <c r="H138" s="110">
        <f>'Приложение 3'!H156</f>
        <v>7324191</v>
      </c>
    </row>
    <row r="139" spans="1:8" s="141" customFormat="1" x14ac:dyDescent="0.25">
      <c r="A139" s="79" t="s">
        <v>250</v>
      </c>
      <c r="B139" s="107" t="s">
        <v>248</v>
      </c>
      <c r="C139" s="107" t="s">
        <v>199</v>
      </c>
      <c r="D139" s="103"/>
      <c r="E139" s="103"/>
      <c r="F139" s="108">
        <f>F140+F154+F157</f>
        <v>510666922.61000001</v>
      </c>
      <c r="G139" s="108">
        <f>G140+G154+G157</f>
        <v>454528942.81</v>
      </c>
      <c r="H139" s="108">
        <f>H140+H154+H157</f>
        <v>454528942.81</v>
      </c>
    </row>
    <row r="140" spans="1:8" s="141" customFormat="1" x14ac:dyDescent="0.25">
      <c r="A140" s="79" t="s">
        <v>168</v>
      </c>
      <c r="B140" s="107" t="s">
        <v>248</v>
      </c>
      <c r="C140" s="107" t="s">
        <v>199</v>
      </c>
      <c r="D140" s="142" t="s">
        <v>475</v>
      </c>
      <c r="E140" s="103"/>
      <c r="F140" s="108">
        <f>F148+F144+F141+F146</f>
        <v>451015126.23000002</v>
      </c>
      <c r="G140" s="108">
        <f t="shared" ref="G140:H140" si="15">G148+G144+G141+G146</f>
        <v>454528942.81</v>
      </c>
      <c r="H140" s="108">
        <f t="shared" si="15"/>
        <v>454528942.81</v>
      </c>
    </row>
    <row r="141" spans="1:8" s="140" customFormat="1" ht="30.75" x14ac:dyDescent="0.25">
      <c r="A141" s="70" t="s">
        <v>594</v>
      </c>
      <c r="B141" s="109" t="s">
        <v>248</v>
      </c>
      <c r="C141" s="109" t="s">
        <v>199</v>
      </c>
      <c r="D141" s="143" t="s">
        <v>602</v>
      </c>
      <c r="E141" s="100"/>
      <c r="F141" s="110">
        <f>SUM(F142:F143)</f>
        <v>83933.37</v>
      </c>
      <c r="G141" s="110">
        <f>SUM(G142:G143)</f>
        <v>0</v>
      </c>
      <c r="H141" s="110">
        <f>SUM(H142:H143)</f>
        <v>0</v>
      </c>
    </row>
    <row r="142" spans="1:8" s="141" customFormat="1" ht="75.75" x14ac:dyDescent="0.25">
      <c r="A142" s="70" t="s">
        <v>169</v>
      </c>
      <c r="B142" s="109" t="s">
        <v>248</v>
      </c>
      <c r="C142" s="109" t="s">
        <v>199</v>
      </c>
      <c r="D142" s="71" t="s">
        <v>602</v>
      </c>
      <c r="E142" s="84" t="s">
        <v>178</v>
      </c>
      <c r="F142" s="110">
        <v>30775.58</v>
      </c>
      <c r="G142" s="110">
        <v>0</v>
      </c>
      <c r="H142" s="110">
        <v>0</v>
      </c>
    </row>
    <row r="143" spans="1:8" s="141" customFormat="1" ht="30.75" x14ac:dyDescent="0.25">
      <c r="A143" s="70" t="s">
        <v>173</v>
      </c>
      <c r="B143" s="109" t="s">
        <v>248</v>
      </c>
      <c r="C143" s="109" t="s">
        <v>199</v>
      </c>
      <c r="D143" s="71" t="s">
        <v>602</v>
      </c>
      <c r="E143" s="84" t="s">
        <v>227</v>
      </c>
      <c r="F143" s="110">
        <v>53157.79</v>
      </c>
      <c r="G143" s="110">
        <v>0</v>
      </c>
      <c r="H143" s="110">
        <v>0</v>
      </c>
    </row>
    <row r="144" spans="1:8" s="140" customFormat="1" x14ac:dyDescent="0.25">
      <c r="A144" s="70" t="s">
        <v>579</v>
      </c>
      <c r="B144" s="109" t="s">
        <v>248</v>
      </c>
      <c r="C144" s="109" t="s">
        <v>199</v>
      </c>
      <c r="D144" s="143" t="s">
        <v>577</v>
      </c>
      <c r="E144" s="100"/>
      <c r="F144" s="110">
        <f>F145</f>
        <v>1193369.77</v>
      </c>
      <c r="G144" s="110">
        <f>G145</f>
        <v>0</v>
      </c>
      <c r="H144" s="110">
        <f>H145</f>
        <v>0</v>
      </c>
    </row>
    <row r="145" spans="1:8" s="140" customFormat="1" ht="30.75" x14ac:dyDescent="0.25">
      <c r="A145" s="70" t="s">
        <v>173</v>
      </c>
      <c r="B145" s="109" t="s">
        <v>248</v>
      </c>
      <c r="C145" s="109" t="s">
        <v>199</v>
      </c>
      <c r="D145" s="143" t="s">
        <v>577</v>
      </c>
      <c r="E145" s="100">
        <v>600</v>
      </c>
      <c r="F145" s="110">
        <f>514955.82+678413.95</f>
        <v>1193369.77</v>
      </c>
      <c r="G145" s="110">
        <v>0</v>
      </c>
      <c r="H145" s="110">
        <v>0</v>
      </c>
    </row>
    <row r="146" spans="1:8" s="140" customFormat="1" x14ac:dyDescent="0.25">
      <c r="A146" s="70" t="s">
        <v>478</v>
      </c>
      <c r="B146" s="109" t="s">
        <v>248</v>
      </c>
      <c r="C146" s="109" t="s">
        <v>199</v>
      </c>
      <c r="D146" s="143" t="s">
        <v>477</v>
      </c>
      <c r="E146" s="100"/>
      <c r="F146" s="110">
        <f>F147</f>
        <v>0</v>
      </c>
      <c r="G146" s="110">
        <f t="shared" ref="G146:H146" si="16">G147</f>
        <v>0</v>
      </c>
      <c r="H146" s="110">
        <f t="shared" si="16"/>
        <v>0</v>
      </c>
    </row>
    <row r="147" spans="1:8" s="140" customFormat="1" x14ac:dyDescent="0.25">
      <c r="A147" s="70" t="s">
        <v>171</v>
      </c>
      <c r="B147" s="109" t="s">
        <v>248</v>
      </c>
      <c r="C147" s="109" t="s">
        <v>199</v>
      </c>
      <c r="D147" s="143" t="s">
        <v>477</v>
      </c>
      <c r="E147" s="100">
        <v>300</v>
      </c>
      <c r="F147" s="97"/>
      <c r="G147" s="110">
        <v>0</v>
      </c>
      <c r="H147" s="110">
        <v>0</v>
      </c>
    </row>
    <row r="148" spans="1:8" s="141" customFormat="1" x14ac:dyDescent="0.25">
      <c r="A148" s="149" t="s">
        <v>474</v>
      </c>
      <c r="B148" s="109" t="s">
        <v>248</v>
      </c>
      <c r="C148" s="109" t="s">
        <v>199</v>
      </c>
      <c r="D148" s="143" t="s">
        <v>476</v>
      </c>
      <c r="E148" s="100"/>
      <c r="F148" s="110">
        <f>SUM(F149:F153)</f>
        <v>449737823.09000003</v>
      </c>
      <c r="G148" s="110">
        <f>SUM(G149:G153)</f>
        <v>454528942.81</v>
      </c>
      <c r="H148" s="110">
        <f>SUM(H149:H153)</f>
        <v>454528942.81</v>
      </c>
    </row>
    <row r="149" spans="1:8" s="141" customFormat="1" ht="75.75" x14ac:dyDescent="0.25">
      <c r="A149" s="72" t="s">
        <v>169</v>
      </c>
      <c r="B149" s="109" t="s">
        <v>248</v>
      </c>
      <c r="C149" s="109" t="s">
        <v>199</v>
      </c>
      <c r="D149" s="143" t="s">
        <v>476</v>
      </c>
      <c r="E149" s="100">
        <v>100</v>
      </c>
      <c r="F149" s="111">
        <f>90467041-83933.37-3119.58-91000-849822.93+1200883.66-160080-100000-319551.05-30931.37+673094-300000-283077.11+650118.72+744155.72+842203.87+371895.51-803215.09</f>
        <v>91924661.979999989</v>
      </c>
      <c r="G149" s="111">
        <v>93253842.599999994</v>
      </c>
      <c r="H149" s="111">
        <v>93253842.599999994</v>
      </c>
    </row>
    <row r="150" spans="1:8" s="141" customFormat="1" ht="30.75" x14ac:dyDescent="0.25">
      <c r="A150" s="72" t="s">
        <v>170</v>
      </c>
      <c r="B150" s="109" t="s">
        <v>248</v>
      </c>
      <c r="C150" s="109" t="s">
        <v>199</v>
      </c>
      <c r="D150" s="143" t="s">
        <v>476</v>
      </c>
      <c r="E150" s="100">
        <v>200</v>
      </c>
      <c r="F150" s="111">
        <f>64037108-400000-400000-100000-36891.77+803031.84+809585-7000+243353.78+459520+715304.56+160080+3641413.63+870400+45900+360823.2+154573.25+400613-4200-95000</f>
        <v>71658614.49000001</v>
      </c>
      <c r="G150" s="111">
        <v>70451380.690000013</v>
      </c>
      <c r="H150" s="111">
        <v>70451380.690000013</v>
      </c>
    </row>
    <row r="151" spans="1:8" s="141" customFormat="1" x14ac:dyDescent="0.25">
      <c r="A151" s="70" t="s">
        <v>171</v>
      </c>
      <c r="B151" s="109" t="s">
        <v>248</v>
      </c>
      <c r="C151" s="109" t="s">
        <v>199</v>
      </c>
      <c r="D151" s="143" t="s">
        <v>476</v>
      </c>
      <c r="E151" s="100">
        <v>300</v>
      </c>
      <c r="F151" s="111">
        <f>3119.58+91000</f>
        <v>94119.58</v>
      </c>
      <c r="G151" s="111">
        <v>0</v>
      </c>
      <c r="H151" s="111">
        <v>0</v>
      </c>
    </row>
    <row r="152" spans="1:8" s="141" customFormat="1" ht="30.75" x14ac:dyDescent="0.25">
      <c r="A152" s="70" t="s">
        <v>173</v>
      </c>
      <c r="B152" s="109" t="s">
        <v>248</v>
      </c>
      <c r="C152" s="109" t="s">
        <v>199</v>
      </c>
      <c r="D152" s="143" t="s">
        <v>476</v>
      </c>
      <c r="E152" s="100">
        <v>600</v>
      </c>
      <c r="F152" s="111">
        <f>272634818.3-133000+1770000+310221-1354413.31+1899847.12-93333.33+1010840.28+2380247.42</f>
        <v>278425227.48000002</v>
      </c>
      <c r="G152" s="111">
        <v>285393540.51999998</v>
      </c>
      <c r="H152" s="111">
        <v>285393540.51999998</v>
      </c>
    </row>
    <row r="153" spans="1:8" s="141" customFormat="1" x14ac:dyDescent="0.25">
      <c r="A153" s="70" t="s">
        <v>172</v>
      </c>
      <c r="B153" s="109" t="s">
        <v>248</v>
      </c>
      <c r="C153" s="109" t="s">
        <v>199</v>
      </c>
      <c r="D153" s="143" t="s">
        <v>476</v>
      </c>
      <c r="E153" s="100">
        <v>800</v>
      </c>
      <c r="F153" s="111">
        <f>5430179+7000+1970000+128820.56+4200+95000</f>
        <v>7635199.5599999996</v>
      </c>
      <c r="G153" s="111">
        <v>5430179</v>
      </c>
      <c r="H153" s="111">
        <v>5430179</v>
      </c>
    </row>
    <row r="154" spans="1:8" s="141" customFormat="1" ht="31.5" x14ac:dyDescent="0.25">
      <c r="A154" s="79" t="s">
        <v>186</v>
      </c>
      <c r="B154" s="109" t="s">
        <v>248</v>
      </c>
      <c r="C154" s="109" t="s">
        <v>199</v>
      </c>
      <c r="D154" s="142" t="s">
        <v>489</v>
      </c>
      <c r="E154" s="103"/>
      <c r="F154" s="113">
        <f t="shared" ref="F154:H155" si="17">F155</f>
        <v>37071452.280000001</v>
      </c>
      <c r="G154" s="113">
        <f t="shared" si="17"/>
        <v>0</v>
      </c>
      <c r="H154" s="113">
        <f t="shared" si="17"/>
        <v>0</v>
      </c>
    </row>
    <row r="155" spans="1:8" s="141" customFormat="1" x14ac:dyDescent="0.25">
      <c r="A155" s="70" t="s">
        <v>478</v>
      </c>
      <c r="B155" s="109" t="s">
        <v>248</v>
      </c>
      <c r="C155" s="109" t="s">
        <v>199</v>
      </c>
      <c r="D155" s="143" t="s">
        <v>490</v>
      </c>
      <c r="E155" s="100"/>
      <c r="F155" s="111">
        <f t="shared" si="17"/>
        <v>37071452.280000001</v>
      </c>
      <c r="G155" s="111">
        <f t="shared" si="17"/>
        <v>0</v>
      </c>
      <c r="H155" s="111">
        <f t="shared" si="17"/>
        <v>0</v>
      </c>
    </row>
    <row r="156" spans="1:8" s="141" customFormat="1" ht="30.75" x14ac:dyDescent="0.25">
      <c r="A156" s="70" t="s">
        <v>187</v>
      </c>
      <c r="B156" s="109" t="s">
        <v>248</v>
      </c>
      <c r="C156" s="109" t="s">
        <v>199</v>
      </c>
      <c r="D156" s="143" t="s">
        <v>490</v>
      </c>
      <c r="E156" s="100">
        <v>400</v>
      </c>
      <c r="F156" s="111">
        <f>79285503.23-35000000+1132644.91-6889766-1456929.86</f>
        <v>37071452.280000001</v>
      </c>
      <c r="G156" s="111">
        <v>0</v>
      </c>
      <c r="H156" s="111">
        <v>0</v>
      </c>
    </row>
    <row r="157" spans="1:8" s="141" customFormat="1" x14ac:dyDescent="0.25">
      <c r="A157" s="82" t="s">
        <v>200</v>
      </c>
      <c r="B157" s="107" t="s">
        <v>248</v>
      </c>
      <c r="C157" s="107" t="s">
        <v>199</v>
      </c>
      <c r="D157" s="115" t="s">
        <v>201</v>
      </c>
      <c r="E157" s="100"/>
      <c r="F157" s="113">
        <f>F158</f>
        <v>22580344.100000001</v>
      </c>
      <c r="G157" s="113">
        <f>G158</f>
        <v>0</v>
      </c>
      <c r="H157" s="113">
        <f>H158</f>
        <v>0</v>
      </c>
    </row>
    <row r="158" spans="1:8" s="141" customFormat="1" x14ac:dyDescent="0.25">
      <c r="A158" s="72" t="s">
        <v>220</v>
      </c>
      <c r="B158" s="109" t="s">
        <v>248</v>
      </c>
      <c r="C158" s="109" t="s">
        <v>199</v>
      </c>
      <c r="D158" s="114" t="s">
        <v>221</v>
      </c>
      <c r="E158" s="100"/>
      <c r="F158" s="111">
        <f>F159+F160</f>
        <v>22580344.100000001</v>
      </c>
      <c r="G158" s="111">
        <f>G159+G160</f>
        <v>0</v>
      </c>
      <c r="H158" s="111">
        <f>H159+H160</f>
        <v>0</v>
      </c>
    </row>
    <row r="159" spans="1:8" s="141" customFormat="1" ht="30.75" x14ac:dyDescent="0.25">
      <c r="A159" s="72" t="s">
        <v>170</v>
      </c>
      <c r="B159" s="109" t="s">
        <v>248</v>
      </c>
      <c r="C159" s="109" t="s">
        <v>199</v>
      </c>
      <c r="D159" s="114" t="s">
        <v>221</v>
      </c>
      <c r="E159" s="100">
        <v>200</v>
      </c>
      <c r="F159" s="111">
        <f>'Приложение 3'!F161</f>
        <v>4708304.6899999995</v>
      </c>
      <c r="G159" s="111">
        <f>'Приложение 3'!G161</f>
        <v>0</v>
      </c>
      <c r="H159" s="111">
        <f>'Приложение 3'!H161</f>
        <v>0</v>
      </c>
    </row>
    <row r="160" spans="1:8" s="141" customFormat="1" ht="30.75" x14ac:dyDescent="0.25">
      <c r="A160" s="70" t="s">
        <v>173</v>
      </c>
      <c r="B160" s="109" t="s">
        <v>248</v>
      </c>
      <c r="C160" s="109" t="s">
        <v>199</v>
      </c>
      <c r="D160" s="114" t="s">
        <v>221</v>
      </c>
      <c r="E160" s="100">
        <v>600</v>
      </c>
      <c r="F160" s="111">
        <f>'Приложение 3'!F163</f>
        <v>17872039.41</v>
      </c>
      <c r="G160" s="111">
        <f>'Приложение 3'!G163</f>
        <v>0</v>
      </c>
      <c r="H160" s="111">
        <f>'Приложение 3'!H163</f>
        <v>0</v>
      </c>
    </row>
    <row r="161" spans="1:8" s="141" customFormat="1" x14ac:dyDescent="0.25">
      <c r="A161" s="79" t="s">
        <v>251</v>
      </c>
      <c r="B161" s="107" t="s">
        <v>248</v>
      </c>
      <c r="C161" s="107" t="s">
        <v>207</v>
      </c>
      <c r="D161" s="142"/>
      <c r="E161" s="103"/>
      <c r="F161" s="113">
        <f>F162+F167+F171+F175</f>
        <v>401557390.60999995</v>
      </c>
      <c r="G161" s="113">
        <f t="shared" ref="G161:H161" si="18">G162+G167+G171+G175</f>
        <v>200853294.21000001</v>
      </c>
      <c r="H161" s="113">
        <f t="shared" si="18"/>
        <v>200853294.21000001</v>
      </c>
    </row>
    <row r="162" spans="1:8" s="141" customFormat="1" x14ac:dyDescent="0.25">
      <c r="A162" s="79" t="s">
        <v>174</v>
      </c>
      <c r="B162" s="107" t="s">
        <v>248</v>
      </c>
      <c r="C162" s="107" t="s">
        <v>207</v>
      </c>
      <c r="D162" s="142" t="s">
        <v>505</v>
      </c>
      <c r="E162" s="103"/>
      <c r="F162" s="113">
        <f>F163</f>
        <v>106014473.33</v>
      </c>
      <c r="G162" s="113">
        <f>G163</f>
        <v>106032800</v>
      </c>
      <c r="H162" s="113">
        <f>H163</f>
        <v>106032800</v>
      </c>
    </row>
    <row r="163" spans="1:8" s="141" customFormat="1" x14ac:dyDescent="0.25">
      <c r="A163" s="70" t="s">
        <v>497</v>
      </c>
      <c r="B163" s="109" t="s">
        <v>248</v>
      </c>
      <c r="C163" s="109" t="s">
        <v>207</v>
      </c>
      <c r="D163" s="143" t="s">
        <v>506</v>
      </c>
      <c r="E163" s="100"/>
      <c r="F163" s="111">
        <f>SUM(F164:F166)</f>
        <v>106014473.33</v>
      </c>
      <c r="G163" s="111">
        <f>SUM(G164:G166)</f>
        <v>106032800</v>
      </c>
      <c r="H163" s="111">
        <f>SUM(H164:H166)</f>
        <v>106032800</v>
      </c>
    </row>
    <row r="164" spans="1:8" s="141" customFormat="1" ht="75.75" x14ac:dyDescent="0.25">
      <c r="A164" s="72" t="s">
        <v>169</v>
      </c>
      <c r="B164" s="109" t="s">
        <v>248</v>
      </c>
      <c r="C164" s="109" t="s">
        <v>207</v>
      </c>
      <c r="D164" s="143" t="s">
        <v>506</v>
      </c>
      <c r="E164" s="100">
        <v>100</v>
      </c>
      <c r="F164" s="111">
        <f>98930520-546200</f>
        <v>98384320</v>
      </c>
      <c r="G164" s="111">
        <v>99536600</v>
      </c>
      <c r="H164" s="111">
        <v>99536600</v>
      </c>
    </row>
    <row r="165" spans="1:8" s="141" customFormat="1" ht="30.75" x14ac:dyDescent="0.25">
      <c r="A165" s="72" t="s">
        <v>170</v>
      </c>
      <c r="B165" s="109" t="s">
        <v>248</v>
      </c>
      <c r="C165" s="109" t="s">
        <v>207</v>
      </c>
      <c r="D165" s="143" t="s">
        <v>506</v>
      </c>
      <c r="E165" s="100">
        <v>200</v>
      </c>
      <c r="F165" s="111">
        <f>6270900+692253.33+546200</f>
        <v>7509353.3300000001</v>
      </c>
      <c r="G165" s="111">
        <v>6375400</v>
      </c>
      <c r="H165" s="111">
        <v>6375400</v>
      </c>
    </row>
    <row r="166" spans="1:8" s="141" customFormat="1" x14ac:dyDescent="0.25">
      <c r="A166" s="70" t="s">
        <v>172</v>
      </c>
      <c r="B166" s="109" t="s">
        <v>248</v>
      </c>
      <c r="C166" s="109" t="s">
        <v>207</v>
      </c>
      <c r="D166" s="143" t="s">
        <v>506</v>
      </c>
      <c r="E166" s="100">
        <v>800</v>
      </c>
      <c r="F166" s="111">
        <v>120800</v>
      </c>
      <c r="G166" s="111">
        <v>120800</v>
      </c>
      <c r="H166" s="111">
        <v>120800</v>
      </c>
    </row>
    <row r="167" spans="1:8" s="141" customFormat="1" x14ac:dyDescent="0.25">
      <c r="A167" s="79" t="s">
        <v>168</v>
      </c>
      <c r="B167" s="107" t="s">
        <v>248</v>
      </c>
      <c r="C167" s="107" t="s">
        <v>207</v>
      </c>
      <c r="D167" s="142" t="s">
        <v>475</v>
      </c>
      <c r="E167" s="103"/>
      <c r="F167" s="113">
        <f>F168</f>
        <v>96209469.819999993</v>
      </c>
      <c r="G167" s="113">
        <f>G168</f>
        <v>94820494.210000008</v>
      </c>
      <c r="H167" s="113">
        <f>H168</f>
        <v>94820494.210000008</v>
      </c>
    </row>
    <row r="168" spans="1:8" s="140" customFormat="1" x14ac:dyDescent="0.25">
      <c r="A168" s="149" t="s">
        <v>474</v>
      </c>
      <c r="B168" s="109" t="s">
        <v>248</v>
      </c>
      <c r="C168" s="109" t="s">
        <v>207</v>
      </c>
      <c r="D168" s="143" t="s">
        <v>476</v>
      </c>
      <c r="E168" s="100"/>
      <c r="F168" s="110">
        <f>SUM(F169:F170)</f>
        <v>96209469.819999993</v>
      </c>
      <c r="G168" s="110">
        <f>SUM(G169:G170)</f>
        <v>94820494.210000008</v>
      </c>
      <c r="H168" s="110">
        <f>SUM(H169:H170)</f>
        <v>94820494.210000008</v>
      </c>
    </row>
    <row r="169" spans="1:8" s="141" customFormat="1" ht="75.75" x14ac:dyDescent="0.25">
      <c r="A169" s="72" t="s">
        <v>169</v>
      </c>
      <c r="B169" s="109" t="s">
        <v>248</v>
      </c>
      <c r="C169" s="109" t="s">
        <v>207</v>
      </c>
      <c r="D169" s="143" t="s">
        <v>476</v>
      </c>
      <c r="E169" s="100">
        <v>100</v>
      </c>
      <c r="F169" s="111">
        <f>82133081.46+1183758.8+2204236.24+263892-352600</f>
        <v>85432368.499999985</v>
      </c>
      <c r="G169" s="111">
        <v>82773081.460000008</v>
      </c>
      <c r="H169" s="111">
        <v>82773081.460000008</v>
      </c>
    </row>
    <row r="170" spans="1:8" s="141" customFormat="1" ht="30.75" x14ac:dyDescent="0.25">
      <c r="A170" s="72" t="s">
        <v>170</v>
      </c>
      <c r="B170" s="109" t="s">
        <v>248</v>
      </c>
      <c r="C170" s="109" t="s">
        <v>207</v>
      </c>
      <c r="D170" s="143" t="s">
        <v>476</v>
      </c>
      <c r="E170" s="100">
        <v>200</v>
      </c>
      <c r="F170" s="111">
        <f>12070723.85-179500+300000-2382722.53+516000+100000+352600</f>
        <v>10777101.32</v>
      </c>
      <c r="G170" s="111">
        <v>12047412.75</v>
      </c>
      <c r="H170" s="111">
        <v>12047412.75</v>
      </c>
    </row>
    <row r="171" spans="1:8" s="141" customFormat="1" ht="31.5" x14ac:dyDescent="0.25">
      <c r="A171" s="79" t="s">
        <v>186</v>
      </c>
      <c r="B171" s="109" t="s">
        <v>248</v>
      </c>
      <c r="C171" s="109" t="s">
        <v>207</v>
      </c>
      <c r="D171" s="142" t="s">
        <v>489</v>
      </c>
      <c r="E171" s="100"/>
      <c r="F171" s="113">
        <f>F172</f>
        <v>198963447.45999998</v>
      </c>
      <c r="G171" s="113">
        <f>G172</f>
        <v>0</v>
      </c>
      <c r="H171" s="113">
        <f>H172</f>
        <v>0</v>
      </c>
    </row>
    <row r="172" spans="1:8" s="141" customFormat="1" x14ac:dyDescent="0.25">
      <c r="A172" s="70" t="s">
        <v>478</v>
      </c>
      <c r="B172" s="109" t="s">
        <v>248</v>
      </c>
      <c r="C172" s="109" t="s">
        <v>207</v>
      </c>
      <c r="D172" s="143" t="s">
        <v>490</v>
      </c>
      <c r="E172" s="100"/>
      <c r="F172" s="111">
        <f>SUM(F173:F174)</f>
        <v>198963447.45999998</v>
      </c>
      <c r="G172" s="111">
        <f>SUM(G173:G174)</f>
        <v>0</v>
      </c>
      <c r="H172" s="111">
        <f>SUM(H173:H174)</f>
        <v>0</v>
      </c>
    </row>
    <row r="173" spans="1:8" s="141" customFormat="1" ht="30.75" x14ac:dyDescent="0.25">
      <c r="A173" s="72" t="s">
        <v>170</v>
      </c>
      <c r="B173" s="109" t="s">
        <v>248</v>
      </c>
      <c r="C173" s="109" t="s">
        <v>207</v>
      </c>
      <c r="D173" s="143" t="s">
        <v>490</v>
      </c>
      <c r="E173" s="100">
        <v>200</v>
      </c>
      <c r="F173" s="111">
        <f>346000</f>
        <v>346000</v>
      </c>
      <c r="G173" s="111">
        <v>0</v>
      </c>
      <c r="H173" s="111">
        <v>0</v>
      </c>
    </row>
    <row r="174" spans="1:8" s="141" customFormat="1" ht="30.75" x14ac:dyDescent="0.25">
      <c r="A174" s="70" t="s">
        <v>187</v>
      </c>
      <c r="B174" s="109" t="s">
        <v>248</v>
      </c>
      <c r="C174" s="109" t="s">
        <v>207</v>
      </c>
      <c r="D174" s="143" t="s">
        <v>490</v>
      </c>
      <c r="E174" s="100">
        <v>400</v>
      </c>
      <c r="F174" s="111">
        <f>135050365.47+1861127.67+61158599.25+524828.34+22526.73</f>
        <v>198617447.45999998</v>
      </c>
      <c r="G174" s="111">
        <v>0</v>
      </c>
      <c r="H174" s="111">
        <v>0</v>
      </c>
    </row>
    <row r="175" spans="1:8" s="141" customFormat="1" x14ac:dyDescent="0.25">
      <c r="A175" s="82" t="s">
        <v>200</v>
      </c>
      <c r="B175" s="107" t="s">
        <v>248</v>
      </c>
      <c r="C175" s="107" t="s">
        <v>207</v>
      </c>
      <c r="D175" s="115" t="s">
        <v>201</v>
      </c>
      <c r="E175" s="100"/>
      <c r="F175" s="111">
        <f>F176</f>
        <v>370000</v>
      </c>
      <c r="G175" s="111">
        <f t="shared" ref="G175:H176" si="19">G176</f>
        <v>0</v>
      </c>
      <c r="H175" s="111">
        <f t="shared" si="19"/>
        <v>0</v>
      </c>
    </row>
    <row r="176" spans="1:8" s="141" customFormat="1" x14ac:dyDescent="0.25">
      <c r="A176" s="72" t="s">
        <v>220</v>
      </c>
      <c r="B176" s="109" t="s">
        <v>248</v>
      </c>
      <c r="C176" s="109" t="s">
        <v>207</v>
      </c>
      <c r="D176" s="114" t="s">
        <v>221</v>
      </c>
      <c r="E176" s="100"/>
      <c r="F176" s="111">
        <f>F177</f>
        <v>370000</v>
      </c>
      <c r="G176" s="111">
        <f t="shared" si="19"/>
        <v>0</v>
      </c>
      <c r="H176" s="111">
        <f t="shared" si="19"/>
        <v>0</v>
      </c>
    </row>
    <row r="177" spans="1:9" s="141" customFormat="1" ht="30.75" x14ac:dyDescent="0.25">
      <c r="A177" s="70" t="s">
        <v>170</v>
      </c>
      <c r="B177" s="109" t="s">
        <v>248</v>
      </c>
      <c r="C177" s="109" t="s">
        <v>207</v>
      </c>
      <c r="D177" s="143" t="s">
        <v>221</v>
      </c>
      <c r="E177" s="100">
        <v>200</v>
      </c>
      <c r="F177" s="111">
        <f>'Приложение 3'!F168+'Приложение 3'!F170</f>
        <v>370000</v>
      </c>
      <c r="G177" s="111">
        <f>'Приложение 3'!G168+'Приложение 3'!G170</f>
        <v>0</v>
      </c>
      <c r="H177" s="111">
        <f>'Приложение 3'!H168+'Приложение 3'!H170</f>
        <v>0</v>
      </c>
    </row>
    <row r="178" spans="1:9" s="141" customFormat="1" x14ac:dyDescent="0.25">
      <c r="A178" s="79" t="s">
        <v>464</v>
      </c>
      <c r="B178" s="107" t="s">
        <v>248</v>
      </c>
      <c r="C178" s="107" t="s">
        <v>248</v>
      </c>
      <c r="D178" s="103"/>
      <c r="E178" s="103"/>
      <c r="F178" s="108">
        <f>F179</f>
        <v>33176777.190000001</v>
      </c>
      <c r="G178" s="108">
        <f>G179</f>
        <v>31600193.210000001</v>
      </c>
      <c r="H178" s="108">
        <f>H179</f>
        <v>32258193.210000001</v>
      </c>
    </row>
    <row r="179" spans="1:9" s="141" customFormat="1" ht="47.25" x14ac:dyDescent="0.25">
      <c r="A179" s="79" t="s">
        <v>493</v>
      </c>
      <c r="B179" s="107" t="s">
        <v>248</v>
      </c>
      <c r="C179" s="107" t="s">
        <v>248</v>
      </c>
      <c r="D179" s="142" t="s">
        <v>494</v>
      </c>
      <c r="E179" s="103"/>
      <c r="F179" s="108">
        <f>F180+F184</f>
        <v>33176777.190000001</v>
      </c>
      <c r="G179" s="108">
        <f>G180+G184</f>
        <v>31600193.210000001</v>
      </c>
      <c r="H179" s="108">
        <f>H180+H184</f>
        <v>32258193.210000001</v>
      </c>
    </row>
    <row r="180" spans="1:9" s="151" customFormat="1" ht="15" x14ac:dyDescent="0.2">
      <c r="A180" s="70" t="s">
        <v>478</v>
      </c>
      <c r="B180" s="109" t="s">
        <v>248</v>
      </c>
      <c r="C180" s="109" t="s">
        <v>248</v>
      </c>
      <c r="D180" s="143" t="s">
        <v>495</v>
      </c>
      <c r="E180" s="100"/>
      <c r="F180" s="110">
        <f>SUM(F181:F183)</f>
        <v>15712847.960000001</v>
      </c>
      <c r="G180" s="110">
        <f>SUM(G181:G183)</f>
        <v>15058825.26</v>
      </c>
      <c r="H180" s="110">
        <f>SUM(H181:H183)</f>
        <v>15058825.26</v>
      </c>
      <c r="I180" s="150"/>
    </row>
    <row r="181" spans="1:9" s="151" customFormat="1" ht="75" x14ac:dyDescent="0.2">
      <c r="A181" s="70" t="s">
        <v>169</v>
      </c>
      <c r="B181" s="109" t="s">
        <v>248</v>
      </c>
      <c r="C181" s="109" t="s">
        <v>248</v>
      </c>
      <c r="D181" s="143" t="s">
        <v>495</v>
      </c>
      <c r="E181" s="100">
        <v>100</v>
      </c>
      <c r="F181" s="271">
        <f>475491.9+542960</f>
        <v>1018451.9</v>
      </c>
      <c r="G181" s="271">
        <v>475491.9</v>
      </c>
      <c r="H181" s="271">
        <v>475491.9</v>
      </c>
      <c r="I181" s="150"/>
    </row>
    <row r="182" spans="1:9" s="151" customFormat="1" ht="30" x14ac:dyDescent="0.2">
      <c r="A182" s="72" t="s">
        <v>170</v>
      </c>
      <c r="B182" s="109" t="s">
        <v>248</v>
      </c>
      <c r="C182" s="109" t="s">
        <v>248</v>
      </c>
      <c r="D182" s="143" t="s">
        <v>495</v>
      </c>
      <c r="E182" s="100">
        <v>200</v>
      </c>
      <c r="F182" s="110">
        <f>4731702.57+170770+483252.7-542960+97000</f>
        <v>4939765.2700000005</v>
      </c>
      <c r="G182" s="110">
        <v>4731702.57</v>
      </c>
      <c r="H182" s="110">
        <v>4731702.57</v>
      </c>
    </row>
    <row r="183" spans="1:9" s="151" customFormat="1" ht="15" x14ac:dyDescent="0.2">
      <c r="A183" s="70" t="s">
        <v>171</v>
      </c>
      <c r="B183" s="109" t="s">
        <v>248</v>
      </c>
      <c r="C183" s="109" t="s">
        <v>248</v>
      </c>
      <c r="D183" s="143" t="s">
        <v>495</v>
      </c>
      <c r="E183" s="100">
        <v>300</v>
      </c>
      <c r="F183" s="110">
        <f>9851630.79-97000</f>
        <v>9754630.7899999991</v>
      </c>
      <c r="G183" s="110">
        <v>9851630.7899999991</v>
      </c>
      <c r="H183" s="110">
        <v>9851630.7899999991</v>
      </c>
    </row>
    <row r="184" spans="1:9" s="151" customFormat="1" ht="15" x14ac:dyDescent="0.2">
      <c r="A184" s="157" t="s">
        <v>474</v>
      </c>
      <c r="B184" s="109" t="s">
        <v>248</v>
      </c>
      <c r="C184" s="109" t="s">
        <v>248</v>
      </c>
      <c r="D184" s="109" t="s">
        <v>496</v>
      </c>
      <c r="E184" s="109"/>
      <c r="F184" s="110">
        <f>F185+F186</f>
        <v>17463929.23</v>
      </c>
      <c r="G184" s="110">
        <f>G185+G186</f>
        <v>16541367.949999999</v>
      </c>
      <c r="H184" s="110">
        <f>H185+H186</f>
        <v>17199367.949999999</v>
      </c>
    </row>
    <row r="185" spans="1:9" s="151" customFormat="1" ht="75" x14ac:dyDescent="0.2">
      <c r="A185" s="70" t="s">
        <v>169</v>
      </c>
      <c r="B185" s="109" t="s">
        <v>248</v>
      </c>
      <c r="C185" s="109" t="s">
        <v>248</v>
      </c>
      <c r="D185" s="109" t="s">
        <v>496</v>
      </c>
      <c r="E185" s="109" t="s">
        <v>178</v>
      </c>
      <c r="F185" s="110">
        <f>15498997.91+370113.03+301455.86</f>
        <v>16170566.799999999</v>
      </c>
      <c r="G185" s="110">
        <v>15704865.52</v>
      </c>
      <c r="H185" s="110">
        <v>16362865.52</v>
      </c>
    </row>
    <row r="186" spans="1:9" s="151" customFormat="1" ht="30" x14ac:dyDescent="0.2">
      <c r="A186" s="72" t="s">
        <v>170</v>
      </c>
      <c r="B186" s="109" t="s">
        <v>248</v>
      </c>
      <c r="C186" s="109" t="s">
        <v>248</v>
      </c>
      <c r="D186" s="109" t="s">
        <v>496</v>
      </c>
      <c r="E186" s="109" t="s">
        <v>181</v>
      </c>
      <c r="F186" s="110">
        <f>672502.43+48900+40000+531960</f>
        <v>1293362.4300000002</v>
      </c>
      <c r="G186" s="110">
        <v>836502.43</v>
      </c>
      <c r="H186" s="110">
        <v>836502.43</v>
      </c>
    </row>
    <row r="187" spans="1:9" s="152" customFormat="1" x14ac:dyDescent="0.25">
      <c r="A187" s="79" t="s">
        <v>252</v>
      </c>
      <c r="B187" s="107" t="s">
        <v>248</v>
      </c>
      <c r="C187" s="107" t="s">
        <v>253</v>
      </c>
      <c r="D187" s="103"/>
      <c r="E187" s="103"/>
      <c r="F187" s="108">
        <f>F188+F202</f>
        <v>146783684.07999998</v>
      </c>
      <c r="G187" s="108">
        <f>G188+G202</f>
        <v>137511561</v>
      </c>
      <c r="H187" s="108">
        <f>H188+H202</f>
        <v>137511561</v>
      </c>
    </row>
    <row r="188" spans="1:9" s="152" customFormat="1" x14ac:dyDescent="0.25">
      <c r="A188" s="79" t="s">
        <v>168</v>
      </c>
      <c r="B188" s="107" t="s">
        <v>248</v>
      </c>
      <c r="C188" s="107" t="s">
        <v>253</v>
      </c>
      <c r="D188" s="142" t="s">
        <v>475</v>
      </c>
      <c r="E188" s="103"/>
      <c r="F188" s="108">
        <f>F189+F195</f>
        <v>144857117.41999999</v>
      </c>
      <c r="G188" s="108">
        <f>G189+G195</f>
        <v>137511561</v>
      </c>
      <c r="H188" s="108">
        <f>H189+H195</f>
        <v>137511561</v>
      </c>
    </row>
    <row r="189" spans="1:9" s="153" customFormat="1" ht="15" x14ac:dyDescent="0.2">
      <c r="A189" s="70" t="s">
        <v>478</v>
      </c>
      <c r="B189" s="109" t="s">
        <v>248</v>
      </c>
      <c r="C189" s="109" t="s">
        <v>253</v>
      </c>
      <c r="D189" s="143" t="s">
        <v>477</v>
      </c>
      <c r="E189" s="100"/>
      <c r="F189" s="110">
        <f>SUM(F190:F194)</f>
        <v>59504498.669999994</v>
      </c>
      <c r="G189" s="110">
        <f>SUM(G190:G194)</f>
        <v>60364793.319999993</v>
      </c>
      <c r="H189" s="110">
        <f>SUM(H190:H194)</f>
        <v>60364793.319999993</v>
      </c>
    </row>
    <row r="190" spans="1:9" s="153" customFormat="1" ht="75" x14ac:dyDescent="0.2">
      <c r="A190" s="70" t="s">
        <v>169</v>
      </c>
      <c r="B190" s="109" t="s">
        <v>248</v>
      </c>
      <c r="C190" s="109" t="s">
        <v>253</v>
      </c>
      <c r="D190" s="143" t="s">
        <v>477</v>
      </c>
      <c r="E190" s="100">
        <v>100</v>
      </c>
      <c r="F190" s="110">
        <f>2382722.53+11712189.48</f>
        <v>14094912.01</v>
      </c>
      <c r="G190" s="110">
        <v>0</v>
      </c>
      <c r="H190" s="110">
        <v>0</v>
      </c>
    </row>
    <row r="191" spans="1:9" s="153" customFormat="1" ht="30" x14ac:dyDescent="0.2">
      <c r="A191" s="72" t="s">
        <v>170</v>
      </c>
      <c r="B191" s="109" t="s">
        <v>248</v>
      </c>
      <c r="C191" s="109" t="s">
        <v>253</v>
      </c>
      <c r="D191" s="143" t="s">
        <v>477</v>
      </c>
      <c r="E191" s="100">
        <v>200</v>
      </c>
      <c r="F191" s="110">
        <f>7942000+2334150+19932097.83+962640+149000-1647</f>
        <v>31318240.829999998</v>
      </c>
      <c r="G191" s="110">
        <v>0</v>
      </c>
      <c r="H191" s="110">
        <v>0</v>
      </c>
    </row>
    <row r="192" spans="1:9" s="152" customFormat="1" ht="15" x14ac:dyDescent="0.2">
      <c r="A192" s="70" t="s">
        <v>171</v>
      </c>
      <c r="B192" s="109" t="s">
        <v>248</v>
      </c>
      <c r="C192" s="109" t="s">
        <v>253</v>
      </c>
      <c r="D192" s="143" t="s">
        <v>477</v>
      </c>
      <c r="E192" s="100">
        <v>300</v>
      </c>
      <c r="F192" s="110">
        <f>11130500-280072.14-233340.27-608000-4876999.95-916300-170000-899118.17-911456.8-85519.85</f>
        <v>2149692.8199999998</v>
      </c>
      <c r="G192" s="110">
        <v>16780500</v>
      </c>
      <c r="H192" s="110">
        <v>16780500</v>
      </c>
    </row>
    <row r="193" spans="1:8" s="152" customFormat="1" ht="30" x14ac:dyDescent="0.2">
      <c r="A193" s="70" t="s">
        <v>173</v>
      </c>
      <c r="B193" s="109" t="s">
        <v>248</v>
      </c>
      <c r="C193" s="109" t="s">
        <v>253</v>
      </c>
      <c r="D193" s="143" t="s">
        <v>477</v>
      </c>
      <c r="E193" s="100">
        <v>600</v>
      </c>
      <c r="F193" s="139">
        <v>11940006.01</v>
      </c>
      <c r="G193" s="139">
        <v>11940006.01</v>
      </c>
      <c r="H193" s="139">
        <v>11940006.01</v>
      </c>
    </row>
    <row r="194" spans="1:8" s="152" customFormat="1" ht="15" x14ac:dyDescent="0.2">
      <c r="A194" s="70" t="s">
        <v>172</v>
      </c>
      <c r="B194" s="109" t="s">
        <v>248</v>
      </c>
      <c r="C194" s="109" t="s">
        <v>253</v>
      </c>
      <c r="D194" s="143" t="s">
        <v>477</v>
      </c>
      <c r="E194" s="100">
        <v>800</v>
      </c>
      <c r="F194" s="110">
        <f>31644287.31-31644287.31+1647</f>
        <v>1647</v>
      </c>
      <c r="G194" s="110">
        <v>31644287.309999999</v>
      </c>
      <c r="H194" s="110">
        <v>31644287.309999999</v>
      </c>
    </row>
    <row r="195" spans="1:8" s="153" customFormat="1" ht="15" x14ac:dyDescent="0.2">
      <c r="A195" s="149" t="s">
        <v>474</v>
      </c>
      <c r="B195" s="109" t="s">
        <v>248</v>
      </c>
      <c r="C195" s="109" t="s">
        <v>253</v>
      </c>
      <c r="D195" s="143" t="s">
        <v>476</v>
      </c>
      <c r="E195" s="100"/>
      <c r="F195" s="110">
        <f>SUM(F196:F201)</f>
        <v>85352618.75</v>
      </c>
      <c r="G195" s="110">
        <f>SUM(G196:G201)</f>
        <v>77146767.680000007</v>
      </c>
      <c r="H195" s="110">
        <f>SUM(H196:H201)</f>
        <v>77146767.680000007</v>
      </c>
    </row>
    <row r="196" spans="1:8" s="152" customFormat="1" ht="75" x14ac:dyDescent="0.2">
      <c r="A196" s="70" t="s">
        <v>169</v>
      </c>
      <c r="B196" s="109" t="s">
        <v>248</v>
      </c>
      <c r="C196" s="109" t="s">
        <v>253</v>
      </c>
      <c r="D196" s="143" t="s">
        <v>476</v>
      </c>
      <c r="E196" s="100">
        <v>100</v>
      </c>
      <c r="F196" s="111">
        <f>51976985+3422611+716926.46+608000+74827.24+170000</f>
        <v>56969349.700000003</v>
      </c>
      <c r="G196" s="111">
        <v>52620735</v>
      </c>
      <c r="H196" s="111">
        <v>52620735</v>
      </c>
    </row>
    <row r="197" spans="1:8" s="152" customFormat="1" ht="30" x14ac:dyDescent="0.2">
      <c r="A197" s="72" t="s">
        <v>170</v>
      </c>
      <c r="B197" s="109" t="s">
        <v>248</v>
      </c>
      <c r="C197" s="109" t="s">
        <v>253</v>
      </c>
      <c r="D197" s="143" t="s">
        <v>476</v>
      </c>
      <c r="E197" s="100">
        <v>200</v>
      </c>
      <c r="F197" s="111">
        <f>7247411.68+700000+1817868-716926.46</f>
        <v>9048353.2199999988</v>
      </c>
      <c r="G197" s="111">
        <v>7247411.6799999997</v>
      </c>
      <c r="H197" s="111">
        <v>7247411.6799999997</v>
      </c>
    </row>
    <row r="198" spans="1:8" s="152" customFormat="1" ht="15" x14ac:dyDescent="0.2">
      <c r="A198" s="70" t="s">
        <v>171</v>
      </c>
      <c r="B198" s="109" t="s">
        <v>248</v>
      </c>
      <c r="C198" s="109" t="s">
        <v>253</v>
      </c>
      <c r="D198" s="143" t="s">
        <v>476</v>
      </c>
      <c r="E198" s="100">
        <v>300</v>
      </c>
      <c r="F198" s="111">
        <f>280072.14+233340.27+8649+4876999.95+1706767.32+1896094.82+1310351.19+993148.14</f>
        <v>11305422.83</v>
      </c>
      <c r="G198" s="111">
        <v>0</v>
      </c>
      <c r="H198" s="111">
        <v>0</v>
      </c>
    </row>
    <row r="199" spans="1:8" s="152" customFormat="1" ht="30" x14ac:dyDescent="0.2">
      <c r="A199" s="70" t="s">
        <v>173</v>
      </c>
      <c r="B199" s="109" t="s">
        <v>248</v>
      </c>
      <c r="C199" s="109" t="s">
        <v>253</v>
      </c>
      <c r="D199" s="143" t="s">
        <v>476</v>
      </c>
      <c r="E199" s="100">
        <v>600</v>
      </c>
      <c r="F199" s="111">
        <f>7989493+40000</f>
        <v>8029493</v>
      </c>
      <c r="G199" s="111">
        <v>0</v>
      </c>
      <c r="H199" s="111">
        <v>0</v>
      </c>
    </row>
    <row r="200" spans="1:8" s="153" customFormat="1" ht="15" x14ac:dyDescent="0.2">
      <c r="A200" s="70" t="s">
        <v>172</v>
      </c>
      <c r="B200" s="109" t="s">
        <v>248</v>
      </c>
      <c r="C200" s="109" t="s">
        <v>253</v>
      </c>
      <c r="D200" s="143" t="s">
        <v>476</v>
      </c>
      <c r="E200" s="100">
        <v>800</v>
      </c>
      <c r="F200" s="111">
        <f>4000000-4000000</f>
        <v>0</v>
      </c>
      <c r="G200" s="111">
        <v>4000000</v>
      </c>
      <c r="H200" s="111">
        <v>4000000</v>
      </c>
    </row>
    <row r="201" spans="1:8" s="153" customFormat="1" ht="15" x14ac:dyDescent="0.2">
      <c r="A201" s="70" t="s">
        <v>172</v>
      </c>
      <c r="B201" s="109" t="s">
        <v>248</v>
      </c>
      <c r="C201" s="109" t="s">
        <v>253</v>
      </c>
      <c r="D201" s="143" t="s">
        <v>476</v>
      </c>
      <c r="E201" s="100">
        <v>800</v>
      </c>
      <c r="F201" s="111">
        <f>13278621-13229972-40000-8649</f>
        <v>0</v>
      </c>
      <c r="G201" s="111">
        <v>13278621</v>
      </c>
      <c r="H201" s="111">
        <v>13278621</v>
      </c>
    </row>
    <row r="202" spans="1:8" s="152" customFormat="1" x14ac:dyDescent="0.25">
      <c r="A202" s="82" t="s">
        <v>200</v>
      </c>
      <c r="B202" s="107" t="s">
        <v>248</v>
      </c>
      <c r="C202" s="107" t="s">
        <v>253</v>
      </c>
      <c r="D202" s="115" t="s">
        <v>201</v>
      </c>
      <c r="E202" s="103"/>
      <c r="F202" s="113">
        <f t="shared" ref="F202:H202" si="20">F203</f>
        <v>1926566.66</v>
      </c>
      <c r="G202" s="113">
        <f t="shared" si="20"/>
        <v>0</v>
      </c>
      <c r="H202" s="113">
        <f t="shared" si="20"/>
        <v>0</v>
      </c>
    </row>
    <row r="203" spans="1:8" s="153" customFormat="1" ht="15" x14ac:dyDescent="0.2">
      <c r="A203" s="72" t="s">
        <v>220</v>
      </c>
      <c r="B203" s="109" t="s">
        <v>248</v>
      </c>
      <c r="C203" s="109" t="s">
        <v>253</v>
      </c>
      <c r="D203" s="114" t="s">
        <v>221</v>
      </c>
      <c r="E203" s="100"/>
      <c r="F203" s="111">
        <f>F205+F204</f>
        <v>1926566.66</v>
      </c>
      <c r="G203" s="111">
        <f t="shared" ref="G203:H203" si="21">G205+G204</f>
        <v>0</v>
      </c>
      <c r="H203" s="111">
        <f t="shared" si="21"/>
        <v>0</v>
      </c>
    </row>
    <row r="204" spans="1:8" s="153" customFormat="1" ht="30" x14ac:dyDescent="0.2">
      <c r="A204" s="72" t="s">
        <v>170</v>
      </c>
      <c r="B204" s="109" t="s">
        <v>248</v>
      </c>
      <c r="C204" s="109" t="s">
        <v>253</v>
      </c>
      <c r="D204" s="114" t="s">
        <v>221</v>
      </c>
      <c r="E204" s="100">
        <v>200</v>
      </c>
      <c r="F204" s="111">
        <f>'Приложение 3'!F175</f>
        <v>50000</v>
      </c>
      <c r="G204" s="111">
        <f>'Приложение 3'!G175</f>
        <v>0</v>
      </c>
      <c r="H204" s="111">
        <f>'Приложение 3'!H175</f>
        <v>0</v>
      </c>
    </row>
    <row r="205" spans="1:8" s="153" customFormat="1" ht="30" x14ac:dyDescent="0.2">
      <c r="A205" s="70" t="s">
        <v>173</v>
      </c>
      <c r="B205" s="109" t="s">
        <v>248</v>
      </c>
      <c r="C205" s="109" t="s">
        <v>253</v>
      </c>
      <c r="D205" s="114" t="s">
        <v>221</v>
      </c>
      <c r="E205" s="100">
        <v>600</v>
      </c>
      <c r="F205" s="111">
        <f>'Приложение 3'!F176</f>
        <v>1876566.66</v>
      </c>
      <c r="G205" s="111">
        <f>'Приложение 3'!G176</f>
        <v>0</v>
      </c>
      <c r="H205" s="111">
        <f>'Приложение 3'!H176</f>
        <v>0</v>
      </c>
    </row>
    <row r="206" spans="1:8" s="152" customFormat="1" x14ac:dyDescent="0.25">
      <c r="A206" s="79" t="s">
        <v>254</v>
      </c>
      <c r="B206" s="107" t="s">
        <v>255</v>
      </c>
      <c r="C206" s="107"/>
      <c r="D206" s="103"/>
      <c r="E206" s="103"/>
      <c r="F206" s="108">
        <f>F207+F224</f>
        <v>140088406.39999998</v>
      </c>
      <c r="G206" s="108">
        <f>G207+G224</f>
        <v>141084800</v>
      </c>
      <c r="H206" s="108">
        <f>H207+H224</f>
        <v>141084800</v>
      </c>
    </row>
    <row r="207" spans="1:8" s="152" customFormat="1" x14ac:dyDescent="0.25">
      <c r="A207" s="79" t="s">
        <v>256</v>
      </c>
      <c r="B207" s="107" t="s">
        <v>255</v>
      </c>
      <c r="C207" s="107" t="s">
        <v>197</v>
      </c>
      <c r="D207" s="103"/>
      <c r="E207" s="103"/>
      <c r="F207" s="108">
        <f>F208+F217+F221</f>
        <v>110575763.39999999</v>
      </c>
      <c r="G207" s="108">
        <f>G208+G217</f>
        <v>109626300</v>
      </c>
      <c r="H207" s="108">
        <f>H208+H217</f>
        <v>109626300</v>
      </c>
    </row>
    <row r="208" spans="1:8" s="153" customFormat="1" x14ac:dyDescent="0.25">
      <c r="A208" s="79" t="s">
        <v>174</v>
      </c>
      <c r="B208" s="107" t="s">
        <v>255</v>
      </c>
      <c r="C208" s="107" t="s">
        <v>197</v>
      </c>
      <c r="D208" s="142" t="s">
        <v>505</v>
      </c>
      <c r="E208" s="103"/>
      <c r="F208" s="108">
        <f>F211+F213+F209</f>
        <v>108668950.44</v>
      </c>
      <c r="G208" s="108">
        <f t="shared" ref="G208:H208" si="22">G211+G213+G209</f>
        <v>109626300</v>
      </c>
      <c r="H208" s="108">
        <f t="shared" si="22"/>
        <v>109626300</v>
      </c>
    </row>
    <row r="209" spans="1:8" s="153" customFormat="1" ht="30" x14ac:dyDescent="0.2">
      <c r="A209" s="70" t="s">
        <v>594</v>
      </c>
      <c r="B209" s="109" t="s">
        <v>255</v>
      </c>
      <c r="C209" s="109" t="s">
        <v>197</v>
      </c>
      <c r="D209" s="71" t="s">
        <v>595</v>
      </c>
      <c r="E209" s="59"/>
      <c r="F209" s="110">
        <f>F210</f>
        <v>478374.44</v>
      </c>
      <c r="G209" s="110">
        <f>G210</f>
        <v>0</v>
      </c>
      <c r="H209" s="110">
        <f>H210</f>
        <v>0</v>
      </c>
    </row>
    <row r="210" spans="1:8" s="153" customFormat="1" ht="30" x14ac:dyDescent="0.2">
      <c r="A210" s="72" t="s">
        <v>170</v>
      </c>
      <c r="B210" s="109" t="s">
        <v>255</v>
      </c>
      <c r="C210" s="109" t="s">
        <v>197</v>
      </c>
      <c r="D210" s="71" t="s">
        <v>595</v>
      </c>
      <c r="E210" s="59">
        <v>200</v>
      </c>
      <c r="F210" s="110">
        <v>478374.44</v>
      </c>
      <c r="G210" s="110">
        <v>0</v>
      </c>
      <c r="H210" s="110">
        <v>0</v>
      </c>
    </row>
    <row r="211" spans="1:8" s="153" customFormat="1" ht="15" x14ac:dyDescent="0.2">
      <c r="A211" s="70" t="s">
        <v>478</v>
      </c>
      <c r="B211" s="109" t="s">
        <v>255</v>
      </c>
      <c r="C211" s="109" t="s">
        <v>197</v>
      </c>
      <c r="D211" s="143" t="s">
        <v>507</v>
      </c>
      <c r="E211" s="100"/>
      <c r="F211" s="110">
        <f>SUM(F212:F212)</f>
        <v>1422100</v>
      </c>
      <c r="G211" s="110">
        <f>SUM(G212:G212)</f>
        <v>1560400</v>
      </c>
      <c r="H211" s="110">
        <f>SUM(H212:H212)</f>
        <v>1560400</v>
      </c>
    </row>
    <row r="212" spans="1:8" s="152" customFormat="1" ht="30" x14ac:dyDescent="0.2">
      <c r="A212" s="72" t="s">
        <v>170</v>
      </c>
      <c r="B212" s="109" t="s">
        <v>255</v>
      </c>
      <c r="C212" s="109" t="s">
        <v>197</v>
      </c>
      <c r="D212" s="143" t="s">
        <v>507</v>
      </c>
      <c r="E212" s="100">
        <v>200</v>
      </c>
      <c r="F212" s="110">
        <v>1422100</v>
      </c>
      <c r="G212" s="110">
        <v>1560400</v>
      </c>
      <c r="H212" s="110">
        <v>1560400</v>
      </c>
    </row>
    <row r="213" spans="1:8" s="153" customFormat="1" ht="15" x14ac:dyDescent="0.2">
      <c r="A213" s="154" t="s">
        <v>474</v>
      </c>
      <c r="B213" s="109" t="s">
        <v>255</v>
      </c>
      <c r="C213" s="109" t="s">
        <v>197</v>
      </c>
      <c r="D213" s="143" t="s">
        <v>506</v>
      </c>
      <c r="E213" s="100"/>
      <c r="F213" s="110">
        <f>SUM(F214:F216)</f>
        <v>106768476</v>
      </c>
      <c r="G213" s="110">
        <f>SUM(G214:G216)</f>
        <v>108065900</v>
      </c>
      <c r="H213" s="110">
        <f>SUM(H214:H216)</f>
        <v>108065900</v>
      </c>
    </row>
    <row r="214" spans="1:8" s="153" customFormat="1" ht="75" x14ac:dyDescent="0.2">
      <c r="A214" s="70" t="s">
        <v>169</v>
      </c>
      <c r="B214" s="109" t="s">
        <v>255</v>
      </c>
      <c r="C214" s="109" t="s">
        <v>197</v>
      </c>
      <c r="D214" s="143" t="s">
        <v>506</v>
      </c>
      <c r="E214" s="100">
        <v>100</v>
      </c>
      <c r="F214" s="139">
        <f>90160059+157417</f>
        <v>90317476</v>
      </c>
      <c r="G214" s="139">
        <v>91206700</v>
      </c>
      <c r="H214" s="139">
        <v>91206700</v>
      </c>
    </row>
    <row r="215" spans="1:8" s="153" customFormat="1" ht="30" x14ac:dyDescent="0.2">
      <c r="A215" s="72" t="s">
        <v>170</v>
      </c>
      <c r="B215" s="109" t="s">
        <v>255</v>
      </c>
      <c r="C215" s="109" t="s">
        <v>197</v>
      </c>
      <c r="D215" s="143" t="s">
        <v>506</v>
      </c>
      <c r="E215" s="100">
        <v>200</v>
      </c>
      <c r="F215" s="139">
        <f>15605300+80000-4873+4873</f>
        <v>15685300</v>
      </c>
      <c r="G215" s="139">
        <v>16013500</v>
      </c>
      <c r="H215" s="139">
        <v>16013500</v>
      </c>
    </row>
    <row r="216" spans="1:8" s="153" customFormat="1" ht="15" x14ac:dyDescent="0.2">
      <c r="A216" s="70" t="s">
        <v>172</v>
      </c>
      <c r="B216" s="109" t="s">
        <v>255</v>
      </c>
      <c r="C216" s="109" t="s">
        <v>197</v>
      </c>
      <c r="D216" s="143" t="s">
        <v>506</v>
      </c>
      <c r="E216" s="100">
        <v>800</v>
      </c>
      <c r="F216" s="139">
        <f>845700-80000+4873-4873</f>
        <v>765700</v>
      </c>
      <c r="G216" s="139">
        <v>845700</v>
      </c>
      <c r="H216" s="139">
        <v>845700</v>
      </c>
    </row>
    <row r="217" spans="1:8" s="152" customFormat="1" x14ac:dyDescent="0.25">
      <c r="A217" s="79" t="s">
        <v>668</v>
      </c>
      <c r="B217" s="107" t="s">
        <v>255</v>
      </c>
      <c r="C217" s="107" t="s">
        <v>197</v>
      </c>
      <c r="D217" s="142" t="s">
        <v>669</v>
      </c>
      <c r="E217" s="103"/>
      <c r="F217" s="155">
        <f>F218</f>
        <v>1037312.96</v>
      </c>
      <c r="G217" s="155">
        <f>G218</f>
        <v>0</v>
      </c>
      <c r="H217" s="155">
        <f>H218</f>
        <v>0</v>
      </c>
    </row>
    <row r="218" spans="1:8" s="153" customFormat="1" ht="15" x14ac:dyDescent="0.2">
      <c r="A218" s="70" t="s">
        <v>478</v>
      </c>
      <c r="B218" s="109" t="s">
        <v>255</v>
      </c>
      <c r="C218" s="109" t="s">
        <v>197</v>
      </c>
      <c r="D218" s="143" t="s">
        <v>670</v>
      </c>
      <c r="E218" s="100"/>
      <c r="F218" s="139">
        <f>SUM(F219:F220)</f>
        <v>1037312.96</v>
      </c>
      <c r="G218" s="139">
        <f>SUM(G219:G220)</f>
        <v>0</v>
      </c>
      <c r="H218" s="139">
        <f>SUM(H219:H220)</f>
        <v>0</v>
      </c>
    </row>
    <row r="219" spans="1:8" s="153" customFormat="1" ht="30" x14ac:dyDescent="0.2">
      <c r="A219" s="70" t="s">
        <v>187</v>
      </c>
      <c r="B219" s="109" t="s">
        <v>255</v>
      </c>
      <c r="C219" s="109" t="s">
        <v>197</v>
      </c>
      <c r="D219" s="143" t="s">
        <v>670</v>
      </c>
      <c r="E219" s="100">
        <v>400</v>
      </c>
      <c r="F219" s="139">
        <v>981509.22</v>
      </c>
      <c r="G219" s="139">
        <v>0</v>
      </c>
      <c r="H219" s="139">
        <v>0</v>
      </c>
    </row>
    <row r="220" spans="1:8" s="153" customFormat="1" ht="15" x14ac:dyDescent="0.2">
      <c r="A220" s="70" t="s">
        <v>172</v>
      </c>
      <c r="B220" s="109" t="s">
        <v>255</v>
      </c>
      <c r="C220" s="109" t="s">
        <v>197</v>
      </c>
      <c r="D220" s="143" t="s">
        <v>670</v>
      </c>
      <c r="E220" s="100">
        <v>800</v>
      </c>
      <c r="F220" s="139">
        <v>55803.74</v>
      </c>
      <c r="G220" s="139">
        <v>0</v>
      </c>
      <c r="H220" s="139">
        <v>0</v>
      </c>
    </row>
    <row r="221" spans="1:8" s="153" customFormat="1" ht="15" x14ac:dyDescent="0.2">
      <c r="A221" s="70" t="s">
        <v>200</v>
      </c>
      <c r="B221" s="109" t="s">
        <v>255</v>
      </c>
      <c r="C221" s="109" t="s">
        <v>197</v>
      </c>
      <c r="D221" s="143" t="s">
        <v>201</v>
      </c>
      <c r="E221" s="100"/>
      <c r="F221" s="139">
        <f>F222</f>
        <v>869500</v>
      </c>
      <c r="G221" s="139">
        <f t="shared" ref="G221:H222" si="23">G222</f>
        <v>0</v>
      </c>
      <c r="H221" s="139">
        <f t="shared" si="23"/>
        <v>0</v>
      </c>
    </row>
    <row r="222" spans="1:8" s="153" customFormat="1" ht="15" x14ac:dyDescent="0.2">
      <c r="A222" s="70" t="s">
        <v>220</v>
      </c>
      <c r="B222" s="109" t="s">
        <v>255</v>
      </c>
      <c r="C222" s="109" t="s">
        <v>197</v>
      </c>
      <c r="D222" s="143" t="s">
        <v>221</v>
      </c>
      <c r="E222" s="100"/>
      <c r="F222" s="139">
        <f>F223</f>
        <v>869500</v>
      </c>
      <c r="G222" s="139">
        <f t="shared" si="23"/>
        <v>0</v>
      </c>
      <c r="H222" s="139">
        <f t="shared" si="23"/>
        <v>0</v>
      </c>
    </row>
    <row r="223" spans="1:8" s="153" customFormat="1" ht="30" x14ac:dyDescent="0.2">
      <c r="A223" s="70" t="s">
        <v>170</v>
      </c>
      <c r="B223" s="109" t="s">
        <v>255</v>
      </c>
      <c r="C223" s="109" t="s">
        <v>197</v>
      </c>
      <c r="D223" s="143" t="s">
        <v>221</v>
      </c>
      <c r="E223" s="100">
        <v>200</v>
      </c>
      <c r="F223" s="139">
        <f>'Приложение 3'!F182</f>
        <v>869500</v>
      </c>
      <c r="G223" s="139">
        <f>'Приложение 3'!G182</f>
        <v>0</v>
      </c>
      <c r="H223" s="139">
        <f>'Приложение 3'!H182</f>
        <v>0</v>
      </c>
    </row>
    <row r="224" spans="1:8" s="152" customFormat="1" ht="31.5" x14ac:dyDescent="0.25">
      <c r="A224" s="79" t="s">
        <v>292</v>
      </c>
      <c r="B224" s="107" t="s">
        <v>255</v>
      </c>
      <c r="C224" s="107" t="s">
        <v>211</v>
      </c>
      <c r="D224" s="103"/>
      <c r="E224" s="103"/>
      <c r="F224" s="108">
        <f>F225+F231</f>
        <v>29512642.999999996</v>
      </c>
      <c r="G224" s="108">
        <f>G225+G231</f>
        <v>31458500</v>
      </c>
      <c r="H224" s="108">
        <f>H225+H231</f>
        <v>31458500</v>
      </c>
    </row>
    <row r="225" spans="1:8" s="153" customFormat="1" x14ac:dyDescent="0.25">
      <c r="A225" s="79" t="s">
        <v>174</v>
      </c>
      <c r="B225" s="107" t="s">
        <v>255</v>
      </c>
      <c r="C225" s="107" t="s">
        <v>211</v>
      </c>
      <c r="D225" s="142" t="s">
        <v>505</v>
      </c>
      <c r="E225" s="103"/>
      <c r="F225" s="110">
        <f>F226</f>
        <v>29210642.999999996</v>
      </c>
      <c r="G225" s="110">
        <f>G226</f>
        <v>31458500</v>
      </c>
      <c r="H225" s="110">
        <f>H226</f>
        <v>31458500</v>
      </c>
    </row>
    <row r="226" spans="1:8" s="153" customFormat="1" ht="15" x14ac:dyDescent="0.2">
      <c r="A226" s="154" t="s">
        <v>474</v>
      </c>
      <c r="B226" s="109" t="s">
        <v>255</v>
      </c>
      <c r="C226" s="109" t="s">
        <v>211</v>
      </c>
      <c r="D226" s="143" t="s">
        <v>506</v>
      </c>
      <c r="E226" s="100"/>
      <c r="F226" s="110">
        <f>SUM(F227:F230)</f>
        <v>29210642.999999996</v>
      </c>
      <c r="G226" s="110">
        <f>SUM(G227:G230)</f>
        <v>31458500</v>
      </c>
      <c r="H226" s="110">
        <f>SUM(H227:H230)</f>
        <v>31458500</v>
      </c>
    </row>
    <row r="227" spans="1:8" s="152" customFormat="1" ht="75" x14ac:dyDescent="0.2">
      <c r="A227" s="70" t="s">
        <v>169</v>
      </c>
      <c r="B227" s="109" t="s">
        <v>255</v>
      </c>
      <c r="C227" s="109" t="s">
        <v>211</v>
      </c>
      <c r="D227" s="143" t="s">
        <v>506</v>
      </c>
      <c r="E227" s="100">
        <v>100</v>
      </c>
      <c r="F227" s="111">
        <f>23471800-283283.03+214943-185799.92</f>
        <v>23217660.049999997</v>
      </c>
      <c r="G227" s="111">
        <v>23981400</v>
      </c>
      <c r="H227" s="111">
        <v>23981400</v>
      </c>
    </row>
    <row r="228" spans="1:8" s="156" customFormat="1" ht="30" x14ac:dyDescent="0.2">
      <c r="A228" s="72" t="s">
        <v>170</v>
      </c>
      <c r="B228" s="109" t="s">
        <v>255</v>
      </c>
      <c r="C228" s="109" t="s">
        <v>211</v>
      </c>
      <c r="D228" s="143" t="s">
        <v>506</v>
      </c>
      <c r="E228" s="100">
        <v>200</v>
      </c>
      <c r="F228" s="287">
        <f>5512700-330000</f>
        <v>5182700</v>
      </c>
      <c r="G228" s="287">
        <v>7465900</v>
      </c>
      <c r="H228" s="287">
        <v>7465900</v>
      </c>
    </row>
    <row r="229" spans="1:8" s="156" customFormat="1" ht="15" x14ac:dyDescent="0.2">
      <c r="A229" s="70" t="s">
        <v>171</v>
      </c>
      <c r="B229" s="109" t="s">
        <v>255</v>
      </c>
      <c r="C229" s="109" t="s">
        <v>211</v>
      </c>
      <c r="D229" s="143" t="s">
        <v>506</v>
      </c>
      <c r="E229" s="100">
        <v>300</v>
      </c>
      <c r="F229" s="287">
        <f>283283.03+185799.92+330000</f>
        <v>799082.95000000007</v>
      </c>
      <c r="G229" s="287">
        <v>0</v>
      </c>
      <c r="H229" s="287">
        <v>0</v>
      </c>
    </row>
    <row r="230" spans="1:8" s="152" customFormat="1" ht="15" x14ac:dyDescent="0.2">
      <c r="A230" s="70" t="s">
        <v>172</v>
      </c>
      <c r="B230" s="109" t="s">
        <v>255</v>
      </c>
      <c r="C230" s="109" t="s">
        <v>211</v>
      </c>
      <c r="D230" s="143" t="s">
        <v>506</v>
      </c>
      <c r="E230" s="100">
        <v>800</v>
      </c>
      <c r="F230" s="111">
        <v>11200</v>
      </c>
      <c r="G230" s="111">
        <v>11200</v>
      </c>
      <c r="H230" s="111">
        <v>11200</v>
      </c>
    </row>
    <row r="231" spans="1:8" s="152" customFormat="1" x14ac:dyDescent="0.25">
      <c r="A231" s="82" t="s">
        <v>200</v>
      </c>
      <c r="B231" s="107" t="s">
        <v>255</v>
      </c>
      <c r="C231" s="107" t="s">
        <v>211</v>
      </c>
      <c r="D231" s="107" t="s">
        <v>201</v>
      </c>
      <c r="E231" s="103"/>
      <c r="F231" s="113">
        <f t="shared" ref="F231:H232" si="24">F232</f>
        <v>302000</v>
      </c>
      <c r="G231" s="113">
        <f t="shared" si="24"/>
        <v>0</v>
      </c>
      <c r="H231" s="113">
        <f t="shared" si="24"/>
        <v>0</v>
      </c>
    </row>
    <row r="232" spans="1:8" s="152" customFormat="1" ht="15" x14ac:dyDescent="0.2">
      <c r="A232" s="72" t="s">
        <v>220</v>
      </c>
      <c r="B232" s="109" t="s">
        <v>255</v>
      </c>
      <c r="C232" s="109" t="s">
        <v>211</v>
      </c>
      <c r="D232" s="109" t="s">
        <v>221</v>
      </c>
      <c r="E232" s="100"/>
      <c r="F232" s="111">
        <f t="shared" si="24"/>
        <v>302000</v>
      </c>
      <c r="G232" s="111">
        <f t="shared" si="24"/>
        <v>0</v>
      </c>
      <c r="H232" s="111">
        <f t="shared" si="24"/>
        <v>0</v>
      </c>
    </row>
    <row r="233" spans="1:8" s="152" customFormat="1" ht="30" x14ac:dyDescent="0.2">
      <c r="A233" s="72" t="s">
        <v>170</v>
      </c>
      <c r="B233" s="109" t="s">
        <v>255</v>
      </c>
      <c r="C233" s="109" t="s">
        <v>211</v>
      </c>
      <c r="D233" s="109" t="s">
        <v>221</v>
      </c>
      <c r="E233" s="100">
        <v>200</v>
      </c>
      <c r="F233" s="111">
        <f>'Приложение 3'!F187</f>
        <v>302000</v>
      </c>
      <c r="G233" s="111">
        <f>'Приложение 3'!G187</f>
        <v>0</v>
      </c>
      <c r="H233" s="111">
        <f>'Приложение 3'!H187</f>
        <v>0</v>
      </c>
    </row>
    <row r="234" spans="1:8" s="152" customFormat="1" x14ac:dyDescent="0.25">
      <c r="A234" s="79" t="s">
        <v>257</v>
      </c>
      <c r="B234" s="107" t="s">
        <v>253</v>
      </c>
      <c r="C234" s="107"/>
      <c r="D234" s="143"/>
      <c r="E234" s="100"/>
      <c r="F234" s="113">
        <f>F235</f>
        <v>10930452.68</v>
      </c>
      <c r="G234" s="113">
        <f t="shared" ref="G234:H237" si="25">G235</f>
        <v>0</v>
      </c>
      <c r="H234" s="113">
        <f t="shared" si="25"/>
        <v>0</v>
      </c>
    </row>
    <row r="235" spans="1:8" s="152" customFormat="1" x14ac:dyDescent="0.25">
      <c r="A235" s="79" t="s">
        <v>258</v>
      </c>
      <c r="B235" s="107" t="s">
        <v>253</v>
      </c>
      <c r="C235" s="107" t="s">
        <v>253</v>
      </c>
      <c r="D235" s="143"/>
      <c r="E235" s="100"/>
      <c r="F235" s="113">
        <f>F236</f>
        <v>10930452.68</v>
      </c>
      <c r="G235" s="113">
        <f t="shared" si="25"/>
        <v>0</v>
      </c>
      <c r="H235" s="113">
        <f t="shared" si="25"/>
        <v>0</v>
      </c>
    </row>
    <row r="236" spans="1:8" s="152" customFormat="1" x14ac:dyDescent="0.25">
      <c r="A236" s="82" t="s">
        <v>584</v>
      </c>
      <c r="B236" s="107" t="s">
        <v>253</v>
      </c>
      <c r="C236" s="107" t="s">
        <v>253</v>
      </c>
      <c r="D236" s="83" t="s">
        <v>585</v>
      </c>
      <c r="E236" s="100"/>
      <c r="F236" s="113">
        <f>F237</f>
        <v>10930452.68</v>
      </c>
      <c r="G236" s="113">
        <f t="shared" si="25"/>
        <v>0</v>
      </c>
      <c r="H236" s="113">
        <f t="shared" si="25"/>
        <v>0</v>
      </c>
    </row>
    <row r="237" spans="1:8" s="153" customFormat="1" ht="15" x14ac:dyDescent="0.2">
      <c r="A237" s="72" t="s">
        <v>478</v>
      </c>
      <c r="B237" s="109" t="s">
        <v>253</v>
      </c>
      <c r="C237" s="109" t="s">
        <v>253</v>
      </c>
      <c r="D237" s="84" t="s">
        <v>586</v>
      </c>
      <c r="E237" s="100"/>
      <c r="F237" s="111">
        <f>F238</f>
        <v>10930452.68</v>
      </c>
      <c r="G237" s="111">
        <f t="shared" si="25"/>
        <v>0</v>
      </c>
      <c r="H237" s="111">
        <f t="shared" si="25"/>
        <v>0</v>
      </c>
    </row>
    <row r="238" spans="1:8" s="152" customFormat="1" ht="30" x14ac:dyDescent="0.2">
      <c r="A238" s="72" t="s">
        <v>170</v>
      </c>
      <c r="B238" s="109" t="s">
        <v>253</v>
      </c>
      <c r="C238" s="109" t="s">
        <v>253</v>
      </c>
      <c r="D238" s="84" t="s">
        <v>586</v>
      </c>
      <c r="E238" s="100">
        <v>200</v>
      </c>
      <c r="F238" s="97">
        <v>10930452.68</v>
      </c>
      <c r="G238" s="111">
        <v>0</v>
      </c>
      <c r="H238" s="111">
        <v>0</v>
      </c>
    </row>
    <row r="239" spans="1:8" s="152" customFormat="1" x14ac:dyDescent="0.25">
      <c r="A239" s="82" t="s">
        <v>259</v>
      </c>
      <c r="B239" s="107" t="s">
        <v>232</v>
      </c>
      <c r="C239" s="107"/>
      <c r="D239" s="107"/>
      <c r="E239" s="107"/>
      <c r="F239" s="108">
        <f>F240+F247+F261+F280</f>
        <v>119567894.39999999</v>
      </c>
      <c r="G239" s="108">
        <f>G240+G247+G261+G280</f>
        <v>106318367.03999999</v>
      </c>
      <c r="H239" s="108">
        <f>H240+H247+H261+H280</f>
        <v>137383196.31</v>
      </c>
    </row>
    <row r="240" spans="1:8" s="152" customFormat="1" x14ac:dyDescent="0.25">
      <c r="A240" s="82" t="s">
        <v>260</v>
      </c>
      <c r="B240" s="107" t="s">
        <v>232</v>
      </c>
      <c r="C240" s="107" t="s">
        <v>197</v>
      </c>
      <c r="D240" s="107"/>
      <c r="E240" s="107"/>
      <c r="F240" s="108">
        <f>F241+F244</f>
        <v>10029907.66</v>
      </c>
      <c r="G240" s="108">
        <f>G241+G244</f>
        <v>9138770</v>
      </c>
      <c r="H240" s="108">
        <f>H241+H244</f>
        <v>9138770</v>
      </c>
    </row>
    <row r="241" spans="1:8" s="153" customFormat="1" x14ac:dyDescent="0.25">
      <c r="A241" s="82" t="s">
        <v>182</v>
      </c>
      <c r="B241" s="107" t="s">
        <v>232</v>
      </c>
      <c r="C241" s="107" t="s">
        <v>197</v>
      </c>
      <c r="D241" s="107" t="s">
        <v>498</v>
      </c>
      <c r="E241" s="107"/>
      <c r="F241" s="108">
        <f t="shared" ref="F241:H242" si="26">F242</f>
        <v>5793213</v>
      </c>
      <c r="G241" s="108">
        <f t="shared" si="26"/>
        <v>5130000</v>
      </c>
      <c r="H241" s="108">
        <f t="shared" si="26"/>
        <v>5130000</v>
      </c>
    </row>
    <row r="242" spans="1:8" s="153" customFormat="1" ht="15" x14ac:dyDescent="0.2">
      <c r="A242" s="72" t="s">
        <v>474</v>
      </c>
      <c r="B242" s="109" t="s">
        <v>232</v>
      </c>
      <c r="C242" s="109" t="s">
        <v>197</v>
      </c>
      <c r="D242" s="109" t="s">
        <v>499</v>
      </c>
      <c r="E242" s="109"/>
      <c r="F242" s="110">
        <f t="shared" si="26"/>
        <v>5793213</v>
      </c>
      <c r="G242" s="110">
        <f t="shared" si="26"/>
        <v>5130000</v>
      </c>
      <c r="H242" s="110">
        <f t="shared" si="26"/>
        <v>5130000</v>
      </c>
    </row>
    <row r="243" spans="1:8" s="153" customFormat="1" ht="15" x14ac:dyDescent="0.2">
      <c r="A243" s="72" t="s">
        <v>171</v>
      </c>
      <c r="B243" s="109" t="s">
        <v>232</v>
      </c>
      <c r="C243" s="109" t="s">
        <v>197</v>
      </c>
      <c r="D243" s="109" t="s">
        <v>499</v>
      </c>
      <c r="E243" s="109" t="s">
        <v>183</v>
      </c>
      <c r="F243" s="110">
        <f>5130000+663213</f>
        <v>5793213</v>
      </c>
      <c r="G243" s="110">
        <v>5130000</v>
      </c>
      <c r="H243" s="110">
        <v>5130000</v>
      </c>
    </row>
    <row r="244" spans="1:8" s="152" customFormat="1" x14ac:dyDescent="0.25">
      <c r="A244" s="82" t="s">
        <v>200</v>
      </c>
      <c r="B244" s="107" t="s">
        <v>232</v>
      </c>
      <c r="C244" s="107" t="s">
        <v>197</v>
      </c>
      <c r="D244" s="107" t="s">
        <v>201</v>
      </c>
      <c r="E244" s="107"/>
      <c r="F244" s="108">
        <f t="shared" ref="F244:H245" si="27">F245</f>
        <v>4236694.66</v>
      </c>
      <c r="G244" s="108">
        <f t="shared" si="27"/>
        <v>4008770</v>
      </c>
      <c r="H244" s="108">
        <f t="shared" si="27"/>
        <v>4008770</v>
      </c>
    </row>
    <row r="245" spans="1:8" s="153" customFormat="1" ht="15" x14ac:dyDescent="0.2">
      <c r="A245" s="72" t="s">
        <v>220</v>
      </c>
      <c r="B245" s="109" t="s">
        <v>232</v>
      </c>
      <c r="C245" s="109" t="s">
        <v>197</v>
      </c>
      <c r="D245" s="109" t="s">
        <v>221</v>
      </c>
      <c r="E245" s="109"/>
      <c r="F245" s="110">
        <f t="shared" si="27"/>
        <v>4236694.66</v>
      </c>
      <c r="G245" s="110">
        <f t="shared" si="27"/>
        <v>4008770</v>
      </c>
      <c r="H245" s="110">
        <f t="shared" si="27"/>
        <v>4008770</v>
      </c>
    </row>
    <row r="246" spans="1:8" s="152" customFormat="1" ht="15" x14ac:dyDescent="0.2">
      <c r="A246" s="72" t="s">
        <v>171</v>
      </c>
      <c r="B246" s="109" t="s">
        <v>232</v>
      </c>
      <c r="C246" s="109" t="s">
        <v>197</v>
      </c>
      <c r="D246" s="109" t="s">
        <v>221</v>
      </c>
      <c r="E246" s="109" t="s">
        <v>183</v>
      </c>
      <c r="F246" s="110">
        <f>'Приложение 3'!F193</f>
        <v>4236694.66</v>
      </c>
      <c r="G246" s="110">
        <f>'Приложение 3'!G193</f>
        <v>4008770</v>
      </c>
      <c r="H246" s="110">
        <f>'Приложение 3'!H193</f>
        <v>4008770</v>
      </c>
    </row>
    <row r="247" spans="1:8" s="152" customFormat="1" x14ac:dyDescent="0.25">
      <c r="A247" s="82" t="s">
        <v>261</v>
      </c>
      <c r="B247" s="107" t="s">
        <v>232</v>
      </c>
      <c r="C247" s="107" t="s">
        <v>207</v>
      </c>
      <c r="D247" s="107"/>
      <c r="E247" s="107"/>
      <c r="F247" s="108">
        <f>F248+F252+F258</f>
        <v>39422019.719999999</v>
      </c>
      <c r="G247" s="108">
        <f>G248+G252+G258</f>
        <v>41164945.140000001</v>
      </c>
      <c r="H247" s="108">
        <f>H248+H252+H258</f>
        <v>70240626.799999997</v>
      </c>
    </row>
    <row r="248" spans="1:8" s="141" customFormat="1" ht="47.25" x14ac:dyDescent="0.25">
      <c r="A248" s="79" t="s">
        <v>493</v>
      </c>
      <c r="B248" s="107" t="s">
        <v>232</v>
      </c>
      <c r="C248" s="107" t="s">
        <v>207</v>
      </c>
      <c r="D248" s="142" t="s">
        <v>494</v>
      </c>
      <c r="E248" s="107"/>
      <c r="F248" s="108">
        <f>F249</f>
        <v>6000000</v>
      </c>
      <c r="G248" s="108">
        <f>G249</f>
        <v>6000000</v>
      </c>
      <c r="H248" s="108">
        <f>H249</f>
        <v>6000000</v>
      </c>
    </row>
    <row r="249" spans="1:8" s="140" customFormat="1" x14ac:dyDescent="0.25">
      <c r="A249" s="72" t="s">
        <v>478</v>
      </c>
      <c r="B249" s="109" t="s">
        <v>232</v>
      </c>
      <c r="C249" s="109" t="s">
        <v>207</v>
      </c>
      <c r="D249" s="143" t="s">
        <v>495</v>
      </c>
      <c r="E249" s="109"/>
      <c r="F249" s="110">
        <f>F250+F251</f>
        <v>6000000</v>
      </c>
      <c r="G249" s="110">
        <f>G250+G251</f>
        <v>6000000</v>
      </c>
      <c r="H249" s="110">
        <f>H250+H251</f>
        <v>6000000</v>
      </c>
    </row>
    <row r="250" spans="1:8" s="140" customFormat="1" ht="30.75" x14ac:dyDescent="0.25">
      <c r="A250" s="70" t="s">
        <v>170</v>
      </c>
      <c r="B250" s="109" t="s">
        <v>232</v>
      </c>
      <c r="C250" s="109" t="s">
        <v>207</v>
      </c>
      <c r="D250" s="143" t="s">
        <v>495</v>
      </c>
      <c r="E250" s="109" t="s">
        <v>181</v>
      </c>
      <c r="F250" s="110">
        <v>300000</v>
      </c>
      <c r="G250" s="110">
        <v>300000</v>
      </c>
      <c r="H250" s="110">
        <v>300000</v>
      </c>
    </row>
    <row r="251" spans="1:8" s="140" customFormat="1" ht="30.75" x14ac:dyDescent="0.25">
      <c r="A251" s="70" t="s">
        <v>173</v>
      </c>
      <c r="B251" s="109" t="s">
        <v>232</v>
      </c>
      <c r="C251" s="109" t="s">
        <v>207</v>
      </c>
      <c r="D251" s="143" t="s">
        <v>495</v>
      </c>
      <c r="E251" s="109" t="s">
        <v>227</v>
      </c>
      <c r="F251" s="110">
        <v>5700000</v>
      </c>
      <c r="G251" s="110">
        <v>5700000</v>
      </c>
      <c r="H251" s="110">
        <v>5700000</v>
      </c>
    </row>
    <row r="252" spans="1:8" s="140" customFormat="1" ht="47.25" x14ac:dyDescent="0.25">
      <c r="A252" s="82" t="s">
        <v>184</v>
      </c>
      <c r="B252" s="107" t="s">
        <v>232</v>
      </c>
      <c r="C252" s="107" t="s">
        <v>207</v>
      </c>
      <c r="D252" s="107" t="s">
        <v>501</v>
      </c>
      <c r="E252" s="107"/>
      <c r="F252" s="108">
        <f>F253+F256</f>
        <v>22346147.949999999</v>
      </c>
      <c r="G252" s="108">
        <f>G253+G256</f>
        <v>23273307.120000001</v>
      </c>
      <c r="H252" s="108">
        <f>H253+H256</f>
        <v>22073307.120000001</v>
      </c>
    </row>
    <row r="253" spans="1:8" s="140" customFormat="1" x14ac:dyDescent="0.25">
      <c r="A253" s="72" t="s">
        <v>478</v>
      </c>
      <c r="B253" s="109" t="s">
        <v>232</v>
      </c>
      <c r="C253" s="109" t="s">
        <v>207</v>
      </c>
      <c r="D253" s="109" t="s">
        <v>502</v>
      </c>
      <c r="E253" s="109"/>
      <c r="F253" s="110">
        <f>SUM(F254:F255)</f>
        <v>19346147.949999999</v>
      </c>
      <c r="G253" s="110">
        <f>SUM(G254:G255)</f>
        <v>20273307.120000001</v>
      </c>
      <c r="H253" s="110">
        <f>SUM(H254:H255)</f>
        <v>19073307.120000001</v>
      </c>
    </row>
    <row r="254" spans="1:8" s="140" customFormat="1" x14ac:dyDescent="0.25">
      <c r="A254" s="72" t="s">
        <v>171</v>
      </c>
      <c r="B254" s="109" t="s">
        <v>232</v>
      </c>
      <c r="C254" s="109" t="s">
        <v>207</v>
      </c>
      <c r="D254" s="109" t="s">
        <v>502</v>
      </c>
      <c r="E254" s="109" t="s">
        <v>183</v>
      </c>
      <c r="F254" s="110">
        <v>12300000</v>
      </c>
      <c r="G254" s="110">
        <v>12300000</v>
      </c>
      <c r="H254" s="110">
        <v>12300000</v>
      </c>
    </row>
    <row r="255" spans="1:8" s="140" customFormat="1" ht="30.75" x14ac:dyDescent="0.25">
      <c r="A255" s="72" t="s">
        <v>175</v>
      </c>
      <c r="B255" s="109" t="s">
        <v>232</v>
      </c>
      <c r="C255" s="109" t="s">
        <v>207</v>
      </c>
      <c r="D255" s="109" t="s">
        <v>502</v>
      </c>
      <c r="E255" s="109" t="s">
        <v>185</v>
      </c>
      <c r="F255" s="110">
        <f>8973307.12-226646.57-194712.6-1505800</f>
        <v>7046147.9499999993</v>
      </c>
      <c r="G255" s="110">
        <v>7973307.1200000001</v>
      </c>
      <c r="H255" s="110">
        <v>6773307.1200000001</v>
      </c>
    </row>
    <row r="256" spans="1:8" s="140" customFormat="1" x14ac:dyDescent="0.25">
      <c r="A256" s="72" t="s">
        <v>474</v>
      </c>
      <c r="B256" s="109" t="s">
        <v>232</v>
      </c>
      <c r="C256" s="109" t="s">
        <v>207</v>
      </c>
      <c r="D256" s="109" t="s">
        <v>503</v>
      </c>
      <c r="E256" s="109"/>
      <c r="F256" s="110">
        <f>F257</f>
        <v>3000000</v>
      </c>
      <c r="G256" s="110">
        <f>G257</f>
        <v>3000000</v>
      </c>
      <c r="H256" s="110">
        <f>H257</f>
        <v>3000000</v>
      </c>
    </row>
    <row r="257" spans="1:8" s="140" customFormat="1" x14ac:dyDescent="0.25">
      <c r="A257" s="72" t="s">
        <v>171</v>
      </c>
      <c r="B257" s="109" t="s">
        <v>232</v>
      </c>
      <c r="C257" s="109" t="s">
        <v>207</v>
      </c>
      <c r="D257" s="109" t="s">
        <v>503</v>
      </c>
      <c r="E257" s="109" t="s">
        <v>183</v>
      </c>
      <c r="F257" s="110">
        <v>3000000</v>
      </c>
      <c r="G257" s="110">
        <v>3000000</v>
      </c>
      <c r="H257" s="110">
        <v>3000000</v>
      </c>
    </row>
    <row r="258" spans="1:8" s="140" customFormat="1" x14ac:dyDescent="0.25">
      <c r="A258" s="82" t="s">
        <v>200</v>
      </c>
      <c r="B258" s="107" t="s">
        <v>232</v>
      </c>
      <c r="C258" s="107" t="s">
        <v>207</v>
      </c>
      <c r="D258" s="107" t="s">
        <v>201</v>
      </c>
      <c r="E258" s="107"/>
      <c r="F258" s="108">
        <f t="shared" ref="F258:H259" si="28">F259</f>
        <v>11075871.770000003</v>
      </c>
      <c r="G258" s="108">
        <f t="shared" si="28"/>
        <v>11891638.02</v>
      </c>
      <c r="H258" s="108">
        <f t="shared" si="28"/>
        <v>42167319.68</v>
      </c>
    </row>
    <row r="259" spans="1:8" s="140" customFormat="1" x14ac:dyDescent="0.25">
      <c r="A259" s="72" t="s">
        <v>220</v>
      </c>
      <c r="B259" s="109" t="s">
        <v>232</v>
      </c>
      <c r="C259" s="109" t="s">
        <v>207</v>
      </c>
      <c r="D259" s="109" t="s">
        <v>221</v>
      </c>
      <c r="E259" s="109"/>
      <c r="F259" s="110">
        <f t="shared" si="28"/>
        <v>11075871.770000003</v>
      </c>
      <c r="G259" s="110">
        <f t="shared" si="28"/>
        <v>11891638.02</v>
      </c>
      <c r="H259" s="110">
        <f t="shared" si="28"/>
        <v>42167319.68</v>
      </c>
    </row>
    <row r="260" spans="1:8" s="140" customFormat="1" ht="30.75" x14ac:dyDescent="0.25">
      <c r="A260" s="72" t="s">
        <v>175</v>
      </c>
      <c r="B260" s="109" t="s">
        <v>232</v>
      </c>
      <c r="C260" s="109" t="s">
        <v>207</v>
      </c>
      <c r="D260" s="109" t="s">
        <v>221</v>
      </c>
      <c r="E260" s="109" t="s">
        <v>185</v>
      </c>
      <c r="F260" s="110">
        <f>'Приложение 3'!F198</f>
        <v>11075871.770000003</v>
      </c>
      <c r="G260" s="110">
        <f>'Приложение 3'!G198</f>
        <v>11891638.02</v>
      </c>
      <c r="H260" s="110">
        <f>'Приложение 3'!H198</f>
        <v>42167319.68</v>
      </c>
    </row>
    <row r="261" spans="1:8" s="64" customFormat="1" x14ac:dyDescent="0.25">
      <c r="A261" s="82" t="s">
        <v>264</v>
      </c>
      <c r="B261" s="107" t="s">
        <v>232</v>
      </c>
      <c r="C261" s="107" t="s">
        <v>211</v>
      </c>
      <c r="D261" s="107"/>
      <c r="E261" s="107"/>
      <c r="F261" s="108">
        <f>F262+F266+F272+F275</f>
        <v>46655166.129999995</v>
      </c>
      <c r="G261" s="108">
        <f>G262+G266+G272+G275</f>
        <v>44596711.129999995</v>
      </c>
      <c r="H261" s="108">
        <f>H262+H266+H272+H275</f>
        <v>45796711.129999995</v>
      </c>
    </row>
    <row r="262" spans="1:8" ht="47.25" x14ac:dyDescent="0.25">
      <c r="A262" s="79" t="s">
        <v>493</v>
      </c>
      <c r="B262" s="107" t="s">
        <v>232</v>
      </c>
      <c r="C262" s="107" t="s">
        <v>211</v>
      </c>
      <c r="D262" s="142" t="s">
        <v>494</v>
      </c>
      <c r="E262" s="107"/>
      <c r="F262" s="108">
        <f>F263</f>
        <v>2613711.13</v>
      </c>
      <c r="G262" s="108">
        <f>G263</f>
        <v>2233711.13</v>
      </c>
      <c r="H262" s="108">
        <f>H263</f>
        <v>2233711.13</v>
      </c>
    </row>
    <row r="263" spans="1:8" x14ac:dyDescent="0.25">
      <c r="A263" s="72" t="s">
        <v>478</v>
      </c>
      <c r="B263" s="109" t="s">
        <v>232</v>
      </c>
      <c r="C263" s="109" t="s">
        <v>211</v>
      </c>
      <c r="D263" s="143" t="s">
        <v>495</v>
      </c>
      <c r="E263" s="109"/>
      <c r="F263" s="110">
        <f>F264+F265</f>
        <v>2613711.13</v>
      </c>
      <c r="G263" s="110">
        <f>G264+G265</f>
        <v>2233711.13</v>
      </c>
      <c r="H263" s="110">
        <f>H264+H265</f>
        <v>2233711.13</v>
      </c>
    </row>
    <row r="264" spans="1:8" ht="30.75" x14ac:dyDescent="0.25">
      <c r="A264" s="72" t="s">
        <v>170</v>
      </c>
      <c r="B264" s="109" t="s">
        <v>232</v>
      </c>
      <c r="C264" s="109" t="s">
        <v>211</v>
      </c>
      <c r="D264" s="143" t="s">
        <v>495</v>
      </c>
      <c r="E264" s="109" t="s">
        <v>181</v>
      </c>
      <c r="F264" s="111">
        <f>1358999.13+380000</f>
        <v>1738999.13</v>
      </c>
      <c r="G264" s="111">
        <v>1358999.13</v>
      </c>
      <c r="H264" s="111">
        <v>1358999.13</v>
      </c>
    </row>
    <row r="265" spans="1:8" x14ac:dyDescent="0.25">
      <c r="A265" s="72" t="s">
        <v>171</v>
      </c>
      <c r="B265" s="109" t="s">
        <v>232</v>
      </c>
      <c r="C265" s="109" t="s">
        <v>211</v>
      </c>
      <c r="D265" s="143" t="s">
        <v>495</v>
      </c>
      <c r="E265" s="109" t="s">
        <v>183</v>
      </c>
      <c r="F265" s="111">
        <v>874712</v>
      </c>
      <c r="G265" s="111">
        <v>874712</v>
      </c>
      <c r="H265" s="111">
        <v>874712</v>
      </c>
    </row>
    <row r="266" spans="1:8" x14ac:dyDescent="0.25">
      <c r="A266" s="82" t="s">
        <v>182</v>
      </c>
      <c r="B266" s="107" t="s">
        <v>232</v>
      </c>
      <c r="C266" s="107" t="s">
        <v>211</v>
      </c>
      <c r="D266" s="107" t="s">
        <v>498</v>
      </c>
      <c r="E266" s="107"/>
      <c r="F266" s="108">
        <f>F267+F270</f>
        <v>2075855</v>
      </c>
      <c r="G266" s="108">
        <f>G267+G270</f>
        <v>2063000</v>
      </c>
      <c r="H266" s="108">
        <f>H267+H270</f>
        <v>2063000</v>
      </c>
    </row>
    <row r="267" spans="1:8" x14ac:dyDescent="0.25">
      <c r="A267" s="72" t="s">
        <v>478</v>
      </c>
      <c r="B267" s="109" t="s">
        <v>232</v>
      </c>
      <c r="C267" s="109" t="s">
        <v>211</v>
      </c>
      <c r="D267" s="109" t="s">
        <v>500</v>
      </c>
      <c r="E267" s="109"/>
      <c r="F267" s="110">
        <f>SUM(F268:F269)</f>
        <v>638717</v>
      </c>
      <c r="G267" s="110">
        <f>SUM(G268:G269)</f>
        <v>794000</v>
      </c>
      <c r="H267" s="110">
        <f>SUM(H268:H269)</f>
        <v>794000</v>
      </c>
    </row>
    <row r="268" spans="1:8" ht="30.75" x14ac:dyDescent="0.25">
      <c r="A268" s="72" t="s">
        <v>170</v>
      </c>
      <c r="B268" s="109" t="s">
        <v>232</v>
      </c>
      <c r="C268" s="109" t="s">
        <v>211</v>
      </c>
      <c r="D268" s="109" t="s">
        <v>500</v>
      </c>
      <c r="E268" s="109" t="s">
        <v>181</v>
      </c>
      <c r="F268" s="110">
        <v>194000</v>
      </c>
      <c r="G268" s="110">
        <v>194000</v>
      </c>
      <c r="H268" s="110">
        <v>194000</v>
      </c>
    </row>
    <row r="269" spans="1:8" x14ac:dyDescent="0.25">
      <c r="A269" s="72" t="s">
        <v>171</v>
      </c>
      <c r="B269" s="109" t="s">
        <v>232</v>
      </c>
      <c r="C269" s="109" t="s">
        <v>211</v>
      </c>
      <c r="D269" s="109" t="s">
        <v>500</v>
      </c>
      <c r="E269" s="109" t="s">
        <v>183</v>
      </c>
      <c r="F269" s="110">
        <f>600000-155283</f>
        <v>444717</v>
      </c>
      <c r="G269" s="110">
        <v>600000</v>
      </c>
      <c r="H269" s="110">
        <v>600000</v>
      </c>
    </row>
    <row r="270" spans="1:8" x14ac:dyDescent="0.25">
      <c r="A270" s="72" t="s">
        <v>474</v>
      </c>
      <c r="B270" s="109" t="s">
        <v>232</v>
      </c>
      <c r="C270" s="109" t="s">
        <v>211</v>
      </c>
      <c r="D270" s="109" t="s">
        <v>499</v>
      </c>
      <c r="E270" s="109"/>
      <c r="F270" s="110">
        <f>F271</f>
        <v>1437138</v>
      </c>
      <c r="G270" s="110">
        <f>G271</f>
        <v>1269000</v>
      </c>
      <c r="H270" s="110">
        <f>H271</f>
        <v>1269000</v>
      </c>
    </row>
    <row r="271" spans="1:8" x14ac:dyDescent="0.25">
      <c r="A271" s="72" t="s">
        <v>171</v>
      </c>
      <c r="B271" s="109" t="s">
        <v>232</v>
      </c>
      <c r="C271" s="109" t="s">
        <v>211</v>
      </c>
      <c r="D271" s="109" t="s">
        <v>499</v>
      </c>
      <c r="E271" s="109" t="s">
        <v>183</v>
      </c>
      <c r="F271" s="110">
        <f>1233000+155283+48855</f>
        <v>1437138</v>
      </c>
      <c r="G271" s="110">
        <v>1269000</v>
      </c>
      <c r="H271" s="110">
        <v>1269000</v>
      </c>
    </row>
    <row r="272" spans="1:8" ht="47.25" x14ac:dyDescent="0.25">
      <c r="A272" s="82" t="s">
        <v>184</v>
      </c>
      <c r="B272" s="107" t="s">
        <v>232</v>
      </c>
      <c r="C272" s="107" t="s">
        <v>211</v>
      </c>
      <c r="D272" s="107" t="s">
        <v>501</v>
      </c>
      <c r="E272" s="107"/>
      <c r="F272" s="108">
        <f t="shared" ref="F272:H273" si="29">F273</f>
        <v>25800000</v>
      </c>
      <c r="G272" s="108">
        <f t="shared" si="29"/>
        <v>26800000</v>
      </c>
      <c r="H272" s="108">
        <f t="shared" si="29"/>
        <v>28000000</v>
      </c>
    </row>
    <row r="273" spans="1:8" x14ac:dyDescent="0.25">
      <c r="A273" s="72" t="s">
        <v>478</v>
      </c>
      <c r="B273" s="109" t="s">
        <v>232</v>
      </c>
      <c r="C273" s="109" t="s">
        <v>211</v>
      </c>
      <c r="D273" s="109" t="s">
        <v>502</v>
      </c>
      <c r="E273" s="109"/>
      <c r="F273" s="110">
        <f t="shared" si="29"/>
        <v>25800000</v>
      </c>
      <c r="G273" s="110">
        <f t="shared" si="29"/>
        <v>26800000</v>
      </c>
      <c r="H273" s="110">
        <f t="shared" si="29"/>
        <v>28000000</v>
      </c>
    </row>
    <row r="274" spans="1:8" x14ac:dyDescent="0.25">
      <c r="A274" s="72" t="s">
        <v>171</v>
      </c>
      <c r="B274" s="109" t="s">
        <v>232</v>
      </c>
      <c r="C274" s="109" t="s">
        <v>211</v>
      </c>
      <c r="D274" s="109" t="s">
        <v>502</v>
      </c>
      <c r="E274" s="109" t="s">
        <v>183</v>
      </c>
      <c r="F274" s="110">
        <v>25800000</v>
      </c>
      <c r="G274" s="110">
        <v>26800000</v>
      </c>
      <c r="H274" s="110">
        <v>28000000</v>
      </c>
    </row>
    <row r="275" spans="1:8" x14ac:dyDescent="0.25">
      <c r="A275" s="82" t="s">
        <v>200</v>
      </c>
      <c r="B275" s="107" t="s">
        <v>232</v>
      </c>
      <c r="C275" s="107" t="s">
        <v>211</v>
      </c>
      <c r="D275" s="107" t="s">
        <v>201</v>
      </c>
      <c r="E275" s="107"/>
      <c r="F275" s="108">
        <f>F276</f>
        <v>16165600</v>
      </c>
      <c r="G275" s="108">
        <f>G276</f>
        <v>13500000</v>
      </c>
      <c r="H275" s="108">
        <f>H276</f>
        <v>13500000</v>
      </c>
    </row>
    <row r="276" spans="1:8" x14ac:dyDescent="0.25">
      <c r="A276" s="72" t="s">
        <v>220</v>
      </c>
      <c r="B276" s="109" t="s">
        <v>232</v>
      </c>
      <c r="C276" s="109" t="s">
        <v>211</v>
      </c>
      <c r="D276" s="109" t="s">
        <v>221</v>
      </c>
      <c r="E276" s="109"/>
      <c r="F276" s="110">
        <f>F277+F278+F279</f>
        <v>16165600</v>
      </c>
      <c r="G276" s="110">
        <f>G277+G278+G279</f>
        <v>13500000</v>
      </c>
      <c r="H276" s="110">
        <f>H277+H278+H279</f>
        <v>13500000</v>
      </c>
    </row>
    <row r="277" spans="1:8" ht="30.75" x14ac:dyDescent="0.25">
      <c r="A277" s="72" t="s">
        <v>170</v>
      </c>
      <c r="B277" s="109" t="s">
        <v>232</v>
      </c>
      <c r="C277" s="109" t="s">
        <v>211</v>
      </c>
      <c r="D277" s="109" t="s">
        <v>221</v>
      </c>
      <c r="E277" s="109" t="s">
        <v>181</v>
      </c>
      <c r="F277" s="110">
        <f>'Приложение 3'!F205</f>
        <v>197734</v>
      </c>
      <c r="G277" s="110">
        <f>'Приложение 3'!G205</f>
        <v>197734</v>
      </c>
      <c r="H277" s="110">
        <f>'Приложение 3'!H205</f>
        <v>197734</v>
      </c>
    </row>
    <row r="278" spans="1:8" x14ac:dyDescent="0.25">
      <c r="A278" s="72" t="s">
        <v>171</v>
      </c>
      <c r="B278" s="109" t="s">
        <v>232</v>
      </c>
      <c r="C278" s="109" t="s">
        <v>211</v>
      </c>
      <c r="D278" s="109" t="s">
        <v>221</v>
      </c>
      <c r="E278" s="109" t="s">
        <v>183</v>
      </c>
      <c r="F278" s="110">
        <f>'Приложение 3'!F206</f>
        <v>13302266</v>
      </c>
      <c r="G278" s="110">
        <f>'Приложение 3'!G206</f>
        <v>13302266</v>
      </c>
      <c r="H278" s="110">
        <f>'Приложение 3'!H206</f>
        <v>13302266</v>
      </c>
    </row>
    <row r="279" spans="1:8" ht="30.75" x14ac:dyDescent="0.25">
      <c r="A279" s="72" t="s">
        <v>175</v>
      </c>
      <c r="B279" s="109" t="s">
        <v>232</v>
      </c>
      <c r="C279" s="109" t="s">
        <v>211</v>
      </c>
      <c r="D279" s="109" t="s">
        <v>221</v>
      </c>
      <c r="E279" s="109" t="s">
        <v>185</v>
      </c>
      <c r="F279" s="110">
        <f>'Приложение 3'!F207</f>
        <v>2665600</v>
      </c>
      <c r="G279" s="110">
        <f>'Приложение 3'!G207</f>
        <v>0</v>
      </c>
      <c r="H279" s="110">
        <f>'Приложение 3'!H207</f>
        <v>0</v>
      </c>
    </row>
    <row r="280" spans="1:8" s="64" customFormat="1" x14ac:dyDescent="0.25">
      <c r="A280" s="82" t="s">
        <v>265</v>
      </c>
      <c r="B280" s="107" t="s">
        <v>232</v>
      </c>
      <c r="C280" s="107" t="s">
        <v>215</v>
      </c>
      <c r="D280" s="107"/>
      <c r="E280" s="107"/>
      <c r="F280" s="108">
        <f>F281+F286+F294</f>
        <v>23460800.890000001</v>
      </c>
      <c r="G280" s="108">
        <f>G281+G286+G294</f>
        <v>11417940.77</v>
      </c>
      <c r="H280" s="108">
        <f>H281+H286+H294</f>
        <v>12207088.379999999</v>
      </c>
    </row>
    <row r="281" spans="1:8" s="64" customFormat="1" ht="31.5" x14ac:dyDescent="0.25">
      <c r="A281" s="82" t="s">
        <v>293</v>
      </c>
      <c r="B281" s="107" t="s">
        <v>232</v>
      </c>
      <c r="C281" s="107" t="s">
        <v>215</v>
      </c>
      <c r="D281" s="107" t="s">
        <v>479</v>
      </c>
      <c r="E281" s="107"/>
      <c r="F281" s="108">
        <f>F282</f>
        <v>3279050</v>
      </c>
      <c r="G281" s="108">
        <f>G282</f>
        <v>2995900</v>
      </c>
      <c r="H281" s="108">
        <f>H282</f>
        <v>2995900</v>
      </c>
    </row>
    <row r="282" spans="1:8" s="64" customFormat="1" x14ac:dyDescent="0.25">
      <c r="A282" s="158" t="s">
        <v>478</v>
      </c>
      <c r="B282" s="109" t="s">
        <v>232</v>
      </c>
      <c r="C282" s="109" t="s">
        <v>215</v>
      </c>
      <c r="D282" s="109" t="s">
        <v>480</v>
      </c>
      <c r="E282" s="109"/>
      <c r="F282" s="110">
        <f>SUM(F283:F285)</f>
        <v>3279050</v>
      </c>
      <c r="G282" s="110">
        <f>SUM(G283:G285)</f>
        <v>2995900</v>
      </c>
      <c r="H282" s="110">
        <f>SUM(H283:H285)</f>
        <v>2995900</v>
      </c>
    </row>
    <row r="283" spans="1:8" s="64" customFormat="1" ht="75" x14ac:dyDescent="0.25">
      <c r="A283" s="159" t="s">
        <v>169</v>
      </c>
      <c r="B283" s="109" t="s">
        <v>232</v>
      </c>
      <c r="C283" s="109" t="s">
        <v>215</v>
      </c>
      <c r="D283" s="109" t="s">
        <v>480</v>
      </c>
      <c r="E283" s="109" t="s">
        <v>178</v>
      </c>
      <c r="F283" s="111">
        <f>272580+320000</f>
        <v>592580</v>
      </c>
      <c r="G283" s="111">
        <v>272580</v>
      </c>
      <c r="H283" s="111">
        <v>272580</v>
      </c>
    </row>
    <row r="284" spans="1:8" s="64" customFormat="1" ht="30.75" x14ac:dyDescent="0.25">
      <c r="A284" s="72" t="s">
        <v>170</v>
      </c>
      <c r="B284" s="109" t="s">
        <v>232</v>
      </c>
      <c r="C284" s="109" t="s">
        <v>215</v>
      </c>
      <c r="D284" s="109" t="s">
        <v>480</v>
      </c>
      <c r="E284" s="109" t="s">
        <v>181</v>
      </c>
      <c r="F284" s="111">
        <f>1268924.62+283150</f>
        <v>1552074.62</v>
      </c>
      <c r="G284" s="111">
        <v>1268924.6200000001</v>
      </c>
      <c r="H284" s="111">
        <v>1268924.6200000001</v>
      </c>
    </row>
    <row r="285" spans="1:8" s="64" customFormat="1" x14ac:dyDescent="0.25">
      <c r="A285" s="72" t="s">
        <v>171</v>
      </c>
      <c r="B285" s="109" t="s">
        <v>232</v>
      </c>
      <c r="C285" s="109" t="s">
        <v>215</v>
      </c>
      <c r="D285" s="109" t="s">
        <v>480</v>
      </c>
      <c r="E285" s="109" t="s">
        <v>183</v>
      </c>
      <c r="F285" s="111">
        <f>1454395.38-320000</f>
        <v>1134395.3799999999</v>
      </c>
      <c r="G285" s="111">
        <v>1454395.38</v>
      </c>
      <c r="H285" s="111">
        <v>1454395.38</v>
      </c>
    </row>
    <row r="286" spans="1:8" x14ac:dyDescent="0.25">
      <c r="A286" s="82" t="s">
        <v>182</v>
      </c>
      <c r="B286" s="107" t="s">
        <v>232</v>
      </c>
      <c r="C286" s="107" t="s">
        <v>215</v>
      </c>
      <c r="D286" s="107" t="s">
        <v>498</v>
      </c>
      <c r="E286" s="107"/>
      <c r="F286" s="108">
        <f>F287+F292</f>
        <v>3188701</v>
      </c>
      <c r="G286" s="108">
        <f>G287+G292</f>
        <v>3378195.83</v>
      </c>
      <c r="H286" s="108">
        <f>H287+H292</f>
        <v>4167343.44</v>
      </c>
    </row>
    <row r="287" spans="1:8" x14ac:dyDescent="0.25">
      <c r="A287" s="72" t="s">
        <v>478</v>
      </c>
      <c r="B287" s="109" t="s">
        <v>232</v>
      </c>
      <c r="C287" s="109" t="s">
        <v>215</v>
      </c>
      <c r="D287" s="109" t="s">
        <v>500</v>
      </c>
      <c r="E287" s="109"/>
      <c r="F287" s="110">
        <f>SUM(F288:F291)</f>
        <v>772701</v>
      </c>
      <c r="G287" s="110">
        <f>SUM(G288:G291)</f>
        <v>998195.83</v>
      </c>
      <c r="H287" s="110">
        <f>SUM(H288:H291)</f>
        <v>1787343.44</v>
      </c>
    </row>
    <row r="288" spans="1:8" ht="75.75" x14ac:dyDescent="0.25">
      <c r="A288" s="72" t="s">
        <v>169</v>
      </c>
      <c r="B288" s="109" t="s">
        <v>232</v>
      </c>
      <c r="C288" s="109" t="s">
        <v>215</v>
      </c>
      <c r="D288" s="109" t="s">
        <v>500</v>
      </c>
      <c r="E288" s="109" t="s">
        <v>178</v>
      </c>
      <c r="F288" s="110">
        <v>0</v>
      </c>
      <c r="G288" s="110">
        <v>0</v>
      </c>
      <c r="H288" s="110">
        <v>218117.49</v>
      </c>
    </row>
    <row r="289" spans="1:8" ht="30.75" x14ac:dyDescent="0.25">
      <c r="A289" s="72" t="s">
        <v>170</v>
      </c>
      <c r="B289" s="109" t="s">
        <v>232</v>
      </c>
      <c r="C289" s="109" t="s">
        <v>215</v>
      </c>
      <c r="D289" s="109" t="s">
        <v>500</v>
      </c>
      <c r="E289" s="109" t="s">
        <v>181</v>
      </c>
      <c r="F289" s="111">
        <f>1959496-35862-465078.96-855854.04</f>
        <v>602701</v>
      </c>
      <c r="G289" s="111">
        <v>998195.83</v>
      </c>
      <c r="H289" s="111">
        <v>1569225.95</v>
      </c>
    </row>
    <row r="290" spans="1:8" x14ac:dyDescent="0.25">
      <c r="A290" s="72" t="s">
        <v>171</v>
      </c>
      <c r="B290" s="109" t="s">
        <v>232</v>
      </c>
      <c r="C290" s="109" t="s">
        <v>215</v>
      </c>
      <c r="D290" s="109" t="s">
        <v>500</v>
      </c>
      <c r="E290" s="109" t="s">
        <v>183</v>
      </c>
      <c r="F290" s="110">
        <f>240000+35862-90000-105862</f>
        <v>80000</v>
      </c>
      <c r="G290" s="110">
        <v>0</v>
      </c>
      <c r="H290" s="110">
        <v>0</v>
      </c>
    </row>
    <row r="291" spans="1:8" x14ac:dyDescent="0.25">
      <c r="A291" s="72" t="s">
        <v>172</v>
      </c>
      <c r="B291" s="109" t="s">
        <v>232</v>
      </c>
      <c r="C291" s="109" t="s">
        <v>215</v>
      </c>
      <c r="D291" s="109" t="s">
        <v>500</v>
      </c>
      <c r="E291" s="109" t="s">
        <v>179</v>
      </c>
      <c r="F291" s="110">
        <v>90000</v>
      </c>
      <c r="G291" s="110">
        <v>0</v>
      </c>
      <c r="H291" s="110">
        <v>0</v>
      </c>
    </row>
    <row r="292" spans="1:8" x14ac:dyDescent="0.25">
      <c r="A292" s="72" t="s">
        <v>474</v>
      </c>
      <c r="B292" s="109" t="s">
        <v>232</v>
      </c>
      <c r="C292" s="109" t="s">
        <v>215</v>
      </c>
      <c r="D292" s="109" t="s">
        <v>499</v>
      </c>
      <c r="E292" s="109"/>
      <c r="F292" s="110">
        <f>F293</f>
        <v>2416000</v>
      </c>
      <c r="G292" s="110">
        <f>G293</f>
        <v>2380000</v>
      </c>
      <c r="H292" s="110">
        <f>H293</f>
        <v>2380000</v>
      </c>
    </row>
    <row r="293" spans="1:8" x14ac:dyDescent="0.25">
      <c r="A293" s="72" t="s">
        <v>171</v>
      </c>
      <c r="B293" s="109" t="s">
        <v>232</v>
      </c>
      <c r="C293" s="109" t="s">
        <v>215</v>
      </c>
      <c r="D293" s="109" t="s">
        <v>499</v>
      </c>
      <c r="E293" s="109" t="s">
        <v>183</v>
      </c>
      <c r="F293" s="110">
        <v>2416000</v>
      </c>
      <c r="G293" s="110">
        <v>2380000</v>
      </c>
      <c r="H293" s="110">
        <v>2380000</v>
      </c>
    </row>
    <row r="294" spans="1:8" x14ac:dyDescent="0.25">
      <c r="A294" s="82" t="s">
        <v>200</v>
      </c>
      <c r="B294" s="107" t="s">
        <v>232</v>
      </c>
      <c r="C294" s="107" t="s">
        <v>215</v>
      </c>
      <c r="D294" s="107" t="s">
        <v>201</v>
      </c>
      <c r="E294" s="109"/>
      <c r="F294" s="108">
        <f>F295+F297</f>
        <v>16993049.890000001</v>
      </c>
      <c r="G294" s="108">
        <f>G295+G297</f>
        <v>5043844.9399999995</v>
      </c>
      <c r="H294" s="108">
        <f>H295+H297</f>
        <v>5043844.9399999995</v>
      </c>
    </row>
    <row r="295" spans="1:8" ht="30.75" x14ac:dyDescent="0.25">
      <c r="A295" s="72" t="s">
        <v>202</v>
      </c>
      <c r="B295" s="109" t="s">
        <v>232</v>
      </c>
      <c r="C295" s="109" t="s">
        <v>215</v>
      </c>
      <c r="D295" s="109" t="s">
        <v>203</v>
      </c>
      <c r="E295" s="109"/>
      <c r="F295" s="110">
        <f>F296</f>
        <v>3630536.94</v>
      </c>
      <c r="G295" s="110">
        <f>G296</f>
        <v>3630536.94</v>
      </c>
      <c r="H295" s="110">
        <f>H296</f>
        <v>3630536.94</v>
      </c>
    </row>
    <row r="296" spans="1:8" ht="75.75" x14ac:dyDescent="0.25">
      <c r="A296" s="72" t="s">
        <v>169</v>
      </c>
      <c r="B296" s="109" t="s">
        <v>232</v>
      </c>
      <c r="C296" s="109" t="s">
        <v>215</v>
      </c>
      <c r="D296" s="109" t="s">
        <v>203</v>
      </c>
      <c r="E296" s="109" t="s">
        <v>178</v>
      </c>
      <c r="F296" s="110">
        <f>'Приложение 3'!F212</f>
        <v>3630536.94</v>
      </c>
      <c r="G296" s="110">
        <f>'Приложение 3'!G212</f>
        <v>3630536.94</v>
      </c>
      <c r="H296" s="110">
        <f>'Приложение 3'!H212</f>
        <v>3630536.94</v>
      </c>
    </row>
    <row r="297" spans="1:8" x14ac:dyDescent="0.25">
      <c r="A297" s="72" t="s">
        <v>220</v>
      </c>
      <c r="B297" s="109" t="s">
        <v>232</v>
      </c>
      <c r="C297" s="109" t="s">
        <v>215</v>
      </c>
      <c r="D297" s="109" t="s">
        <v>221</v>
      </c>
      <c r="E297" s="109"/>
      <c r="F297" s="110">
        <f>SUM(F298:F298)</f>
        <v>13362512.949999999</v>
      </c>
      <c r="G297" s="110">
        <f>SUM(G298:G298)</f>
        <v>1413308</v>
      </c>
      <c r="H297" s="110">
        <f>SUM(H298:H298)</f>
        <v>1413308</v>
      </c>
    </row>
    <row r="298" spans="1:8" x14ac:dyDescent="0.25">
      <c r="A298" s="72" t="s">
        <v>171</v>
      </c>
      <c r="B298" s="109" t="s">
        <v>232</v>
      </c>
      <c r="C298" s="109" t="s">
        <v>215</v>
      </c>
      <c r="D298" s="109" t="s">
        <v>221</v>
      </c>
      <c r="E298" s="109" t="s">
        <v>183</v>
      </c>
      <c r="F298" s="110">
        <f>'Приложение 3'!F218+'Приложение 3'!F215</f>
        <v>13362512.949999999</v>
      </c>
      <c r="G298" s="110">
        <f>'Приложение 3'!G218+'Приложение 3'!G215</f>
        <v>1413308</v>
      </c>
      <c r="H298" s="110">
        <f>'Приложение 3'!H218+'Приложение 3'!H215</f>
        <v>1413308</v>
      </c>
    </row>
    <row r="299" spans="1:8" x14ac:dyDescent="0.25">
      <c r="A299" s="82" t="s">
        <v>266</v>
      </c>
      <c r="B299" s="107" t="s">
        <v>219</v>
      </c>
      <c r="C299" s="107"/>
      <c r="D299" s="107"/>
      <c r="E299" s="107"/>
      <c r="F299" s="108">
        <f>F300+F314</f>
        <v>151947309.10999998</v>
      </c>
      <c r="G299" s="108">
        <f>G300+G314</f>
        <v>143956490.74000001</v>
      </c>
      <c r="H299" s="108">
        <f>H300+H314</f>
        <v>143956490.74000001</v>
      </c>
    </row>
    <row r="300" spans="1:8" x14ac:dyDescent="0.25">
      <c r="A300" s="82" t="s">
        <v>267</v>
      </c>
      <c r="B300" s="107" t="s">
        <v>219</v>
      </c>
      <c r="C300" s="107" t="s">
        <v>197</v>
      </c>
      <c r="D300" s="107"/>
      <c r="E300" s="107"/>
      <c r="F300" s="108">
        <f>F301+F310</f>
        <v>145566722.89999998</v>
      </c>
      <c r="G300" s="108">
        <f>G301+G310</f>
        <v>135956490.74000001</v>
      </c>
      <c r="H300" s="108">
        <f>H301+H310</f>
        <v>135956490.74000001</v>
      </c>
    </row>
    <row r="301" spans="1:8" ht="31.5" x14ac:dyDescent="0.25">
      <c r="A301" s="82" t="s">
        <v>188</v>
      </c>
      <c r="B301" s="107" t="s">
        <v>219</v>
      </c>
      <c r="C301" s="107" t="s">
        <v>197</v>
      </c>
      <c r="D301" s="107" t="s">
        <v>481</v>
      </c>
      <c r="E301" s="107"/>
      <c r="F301" s="108">
        <f>F302+F305</f>
        <v>142106085.22999999</v>
      </c>
      <c r="G301" s="108">
        <f>G302+G305</f>
        <v>135956490.74000001</v>
      </c>
      <c r="H301" s="108">
        <f>H302+H305</f>
        <v>135956490.74000001</v>
      </c>
    </row>
    <row r="302" spans="1:8" x14ac:dyDescent="0.25">
      <c r="A302" s="72" t="s">
        <v>478</v>
      </c>
      <c r="B302" s="109" t="s">
        <v>219</v>
      </c>
      <c r="C302" s="109" t="s">
        <v>197</v>
      </c>
      <c r="D302" s="109" t="s">
        <v>482</v>
      </c>
      <c r="E302" s="109"/>
      <c r="F302" s="110">
        <f>SUM(F303:F304)</f>
        <v>8809518.9600000009</v>
      </c>
      <c r="G302" s="110">
        <f>SUM(G303:G304)</f>
        <v>8000000</v>
      </c>
      <c r="H302" s="110">
        <f>SUM(H303:H304)</f>
        <v>8000000</v>
      </c>
    </row>
    <row r="303" spans="1:8" ht="75.75" x14ac:dyDescent="0.25">
      <c r="A303" s="72" t="s">
        <v>169</v>
      </c>
      <c r="B303" s="109" t="s">
        <v>219</v>
      </c>
      <c r="C303" s="109" t="s">
        <v>197</v>
      </c>
      <c r="D303" s="109" t="s">
        <v>482</v>
      </c>
      <c r="E303" s="109" t="s">
        <v>178</v>
      </c>
      <c r="F303" s="110">
        <f>450000-178079.51</f>
        <v>271920.49</v>
      </c>
      <c r="G303" s="110">
        <v>350000</v>
      </c>
      <c r="H303" s="110">
        <v>350000</v>
      </c>
    </row>
    <row r="304" spans="1:8" ht="30.75" x14ac:dyDescent="0.25">
      <c r="A304" s="72" t="s">
        <v>170</v>
      </c>
      <c r="B304" s="109" t="s">
        <v>219</v>
      </c>
      <c r="C304" s="109" t="s">
        <v>197</v>
      </c>
      <c r="D304" s="109" t="s">
        <v>482</v>
      </c>
      <c r="E304" s="109" t="s">
        <v>181</v>
      </c>
      <c r="F304" s="110">
        <f>7250000-70000+1357598.47</f>
        <v>8537598.4700000007</v>
      </c>
      <c r="G304" s="110">
        <v>7650000</v>
      </c>
      <c r="H304" s="110">
        <v>7650000</v>
      </c>
    </row>
    <row r="305" spans="1:8" x14ac:dyDescent="0.25">
      <c r="A305" s="72" t="s">
        <v>474</v>
      </c>
      <c r="B305" s="109" t="s">
        <v>219</v>
      </c>
      <c r="C305" s="109" t="s">
        <v>197</v>
      </c>
      <c r="D305" s="109" t="s">
        <v>483</v>
      </c>
      <c r="E305" s="109"/>
      <c r="F305" s="110">
        <f>SUM(F306:F309)</f>
        <v>133296566.26999998</v>
      </c>
      <c r="G305" s="110">
        <f>SUM(G306:G309)</f>
        <v>127956490.73999999</v>
      </c>
      <c r="H305" s="110">
        <f>SUM(H306:H309)</f>
        <v>127956490.73999999</v>
      </c>
    </row>
    <row r="306" spans="1:8" ht="75.75" x14ac:dyDescent="0.25">
      <c r="A306" s="72" t="s">
        <v>169</v>
      </c>
      <c r="B306" s="109" t="s">
        <v>219</v>
      </c>
      <c r="C306" s="109" t="s">
        <v>197</v>
      </c>
      <c r="D306" s="109" t="s">
        <v>483</v>
      </c>
      <c r="E306" s="109" t="s">
        <v>178</v>
      </c>
      <c r="F306" s="111">
        <f>100773564.32-4881.33+56874+70000</f>
        <v>100895556.98999999</v>
      </c>
      <c r="G306" s="111">
        <v>100511155.94</v>
      </c>
      <c r="H306" s="111">
        <v>100511155.94</v>
      </c>
    </row>
    <row r="307" spans="1:8" ht="30.75" x14ac:dyDescent="0.25">
      <c r="A307" s="72" t="s">
        <v>170</v>
      </c>
      <c r="B307" s="109" t="s">
        <v>219</v>
      </c>
      <c r="C307" s="109" t="s">
        <v>197</v>
      </c>
      <c r="D307" s="109" t="s">
        <v>483</v>
      </c>
      <c r="E307" s="109" t="s">
        <v>181</v>
      </c>
      <c r="F307" s="111">
        <f>23998537.95+2931400+1456929.86+1010835.79-970940.96+970940.96</f>
        <v>29397703.599999998</v>
      </c>
      <c r="G307" s="111">
        <v>24446910.449999999</v>
      </c>
      <c r="H307" s="111">
        <v>24446910.449999999</v>
      </c>
    </row>
    <row r="308" spans="1:8" x14ac:dyDescent="0.25">
      <c r="A308" s="72" t="s">
        <v>171</v>
      </c>
      <c r="B308" s="109" t="s">
        <v>219</v>
      </c>
      <c r="C308" s="109" t="s">
        <v>197</v>
      </c>
      <c r="D308" s="109" t="s">
        <v>483</v>
      </c>
      <c r="E308" s="109" t="s">
        <v>183</v>
      </c>
      <c r="F308" s="111">
        <v>4881.33</v>
      </c>
      <c r="G308" s="111">
        <v>0</v>
      </c>
      <c r="H308" s="111">
        <v>0</v>
      </c>
    </row>
    <row r="309" spans="1:8" x14ac:dyDescent="0.25">
      <c r="A309" s="72" t="s">
        <v>172</v>
      </c>
      <c r="B309" s="109" t="s">
        <v>219</v>
      </c>
      <c r="C309" s="109" t="s">
        <v>197</v>
      </c>
      <c r="D309" s="109" t="s">
        <v>483</v>
      </c>
      <c r="E309" s="109" t="s">
        <v>179</v>
      </c>
      <c r="F309" s="111">
        <v>2998424.35</v>
      </c>
      <c r="G309" s="111">
        <v>2998424.35</v>
      </c>
      <c r="H309" s="111">
        <v>2998424.35</v>
      </c>
    </row>
    <row r="310" spans="1:8" s="64" customFormat="1" x14ac:dyDescent="0.25">
      <c r="A310" s="82" t="s">
        <v>200</v>
      </c>
      <c r="B310" s="107" t="s">
        <v>219</v>
      </c>
      <c r="C310" s="107" t="s">
        <v>197</v>
      </c>
      <c r="D310" s="107" t="s">
        <v>201</v>
      </c>
      <c r="E310" s="107"/>
      <c r="F310" s="108">
        <f>F311</f>
        <v>3460637.6699999981</v>
      </c>
      <c r="G310" s="108">
        <f>G311</f>
        <v>0</v>
      </c>
      <c r="H310" s="108">
        <f>H311</f>
        <v>0</v>
      </c>
    </row>
    <row r="311" spans="1:8" x14ac:dyDescent="0.25">
      <c r="A311" s="72" t="s">
        <v>220</v>
      </c>
      <c r="B311" s="109" t="s">
        <v>219</v>
      </c>
      <c r="C311" s="109" t="s">
        <v>197</v>
      </c>
      <c r="D311" s="109" t="s">
        <v>221</v>
      </c>
      <c r="E311" s="109"/>
      <c r="F311" s="110">
        <f>SUM(F312:F313)</f>
        <v>3460637.6699999981</v>
      </c>
      <c r="G311" s="110">
        <f>SUM(G312:G313)</f>
        <v>0</v>
      </c>
      <c r="H311" s="110">
        <f>SUM(H312:H313)</f>
        <v>0</v>
      </c>
    </row>
    <row r="312" spans="1:8" ht="30.75" x14ac:dyDescent="0.25">
      <c r="A312" s="72" t="s">
        <v>170</v>
      </c>
      <c r="B312" s="109" t="s">
        <v>219</v>
      </c>
      <c r="C312" s="109" t="s">
        <v>197</v>
      </c>
      <c r="D312" s="109" t="s">
        <v>221</v>
      </c>
      <c r="E312" s="109" t="s">
        <v>181</v>
      </c>
      <c r="F312" s="110">
        <f>'Приложение 3'!F224+'Приложение 3'!F228</f>
        <v>3360637.6699999981</v>
      </c>
      <c r="G312" s="110">
        <f>'Приложение 3'!G224+'Приложение 3'!G228</f>
        <v>0</v>
      </c>
      <c r="H312" s="110">
        <f>'Приложение 3'!H224+'Приложение 3'!H228</f>
        <v>0</v>
      </c>
    </row>
    <row r="313" spans="1:8" x14ac:dyDescent="0.25">
      <c r="A313" s="72" t="s">
        <v>171</v>
      </c>
      <c r="B313" s="109" t="s">
        <v>219</v>
      </c>
      <c r="C313" s="109" t="s">
        <v>197</v>
      </c>
      <c r="D313" s="109" t="s">
        <v>221</v>
      </c>
      <c r="E313" s="109" t="s">
        <v>183</v>
      </c>
      <c r="F313" s="110">
        <f>'Приложение 3'!F225</f>
        <v>100000</v>
      </c>
      <c r="G313" s="110">
        <f>'Приложение 3'!G225</f>
        <v>0</v>
      </c>
      <c r="H313" s="110">
        <f>'Приложение 3'!H225</f>
        <v>0</v>
      </c>
    </row>
    <row r="314" spans="1:8" x14ac:dyDescent="0.25">
      <c r="A314" s="82" t="s">
        <v>294</v>
      </c>
      <c r="B314" s="107" t="s">
        <v>219</v>
      </c>
      <c r="C314" s="107" t="s">
        <v>199</v>
      </c>
      <c r="D314" s="107"/>
      <c r="E314" s="107"/>
      <c r="F314" s="108">
        <f t="shared" ref="F314:H315" si="30">F315</f>
        <v>6380586.21</v>
      </c>
      <c r="G314" s="108">
        <f t="shared" si="30"/>
        <v>8000000</v>
      </c>
      <c r="H314" s="108">
        <f t="shared" si="30"/>
        <v>8000000</v>
      </c>
    </row>
    <row r="315" spans="1:8" s="64" customFormat="1" ht="31.5" x14ac:dyDescent="0.25">
      <c r="A315" s="82" t="s">
        <v>188</v>
      </c>
      <c r="B315" s="107" t="s">
        <v>219</v>
      </c>
      <c r="C315" s="107" t="s">
        <v>199</v>
      </c>
      <c r="D315" s="107" t="s">
        <v>481</v>
      </c>
      <c r="E315" s="107"/>
      <c r="F315" s="108">
        <f t="shared" si="30"/>
        <v>6380586.21</v>
      </c>
      <c r="G315" s="108">
        <f t="shared" si="30"/>
        <v>8000000</v>
      </c>
      <c r="H315" s="108">
        <f t="shared" si="30"/>
        <v>8000000</v>
      </c>
    </row>
    <row r="316" spans="1:8" x14ac:dyDescent="0.25">
      <c r="A316" s="72" t="s">
        <v>478</v>
      </c>
      <c r="B316" s="109" t="s">
        <v>219</v>
      </c>
      <c r="C316" s="109" t="s">
        <v>199</v>
      </c>
      <c r="D316" s="109" t="s">
        <v>482</v>
      </c>
      <c r="E316" s="109"/>
      <c r="F316" s="110">
        <f>SUM(F317:F318)</f>
        <v>6380586.21</v>
      </c>
      <c r="G316" s="110">
        <f>SUM(G317:G318)</f>
        <v>8000000</v>
      </c>
      <c r="H316" s="110">
        <f>SUM(H317:H318)</f>
        <v>8000000</v>
      </c>
    </row>
    <row r="317" spans="1:8" ht="75.75" x14ac:dyDescent="0.25">
      <c r="A317" s="72" t="s">
        <v>169</v>
      </c>
      <c r="B317" s="109" t="s">
        <v>219</v>
      </c>
      <c r="C317" s="109" t="s">
        <v>199</v>
      </c>
      <c r="D317" s="109" t="s">
        <v>482</v>
      </c>
      <c r="E317" s="109" t="s">
        <v>178</v>
      </c>
      <c r="F317" s="110">
        <f>450000-208578</f>
        <v>241422</v>
      </c>
      <c r="G317" s="110">
        <v>350000</v>
      </c>
      <c r="H317" s="110">
        <v>350000</v>
      </c>
    </row>
    <row r="318" spans="1:8" ht="30.75" x14ac:dyDescent="0.25">
      <c r="A318" s="72" t="s">
        <v>170</v>
      </c>
      <c r="B318" s="109" t="s">
        <v>219</v>
      </c>
      <c r="C318" s="109" t="s">
        <v>199</v>
      </c>
      <c r="D318" s="109" t="s">
        <v>482</v>
      </c>
      <c r="E318" s="109" t="s">
        <v>181</v>
      </c>
      <c r="F318" s="110">
        <f>7150000-1010835.79</f>
        <v>6139164.21</v>
      </c>
      <c r="G318" s="110">
        <v>7650000</v>
      </c>
      <c r="H318" s="110">
        <v>7650000</v>
      </c>
    </row>
    <row r="319" spans="1:8" ht="63" x14ac:dyDescent="0.25">
      <c r="A319" s="120" t="s">
        <v>270</v>
      </c>
      <c r="B319" s="160" t="s">
        <v>271</v>
      </c>
      <c r="C319" s="160"/>
      <c r="D319" s="160"/>
      <c r="E319" s="161"/>
      <c r="F319" s="122">
        <f t="shared" ref="F319:H322" si="31">F320</f>
        <v>449589488.68000001</v>
      </c>
      <c r="G319" s="122">
        <f t="shared" si="31"/>
        <v>11741386.74</v>
      </c>
      <c r="H319" s="122">
        <f t="shared" si="31"/>
        <v>0</v>
      </c>
    </row>
    <row r="320" spans="1:8" ht="31.5" x14ac:dyDescent="0.25">
      <c r="A320" s="123" t="s">
        <v>272</v>
      </c>
      <c r="B320" s="160" t="s">
        <v>271</v>
      </c>
      <c r="C320" s="160" t="s">
        <v>207</v>
      </c>
      <c r="D320" s="160"/>
      <c r="E320" s="161"/>
      <c r="F320" s="122">
        <f t="shared" si="31"/>
        <v>449589488.68000001</v>
      </c>
      <c r="G320" s="122">
        <f t="shared" si="31"/>
        <v>11741386.74</v>
      </c>
      <c r="H320" s="122">
        <f t="shared" si="31"/>
        <v>0</v>
      </c>
    </row>
    <row r="321" spans="1:8" x14ac:dyDescent="0.25">
      <c r="A321" s="82" t="s">
        <v>200</v>
      </c>
      <c r="B321" s="160" t="s">
        <v>271</v>
      </c>
      <c r="C321" s="160" t="s">
        <v>207</v>
      </c>
      <c r="D321" s="160" t="s">
        <v>201</v>
      </c>
      <c r="E321" s="161"/>
      <c r="F321" s="122">
        <f t="shared" si="31"/>
        <v>449589488.68000001</v>
      </c>
      <c r="G321" s="122">
        <f t="shared" si="31"/>
        <v>11741386.74</v>
      </c>
      <c r="H321" s="122">
        <f t="shared" si="31"/>
        <v>0</v>
      </c>
    </row>
    <row r="322" spans="1:8" x14ac:dyDescent="0.25">
      <c r="A322" s="72" t="s">
        <v>273</v>
      </c>
      <c r="B322" s="160" t="s">
        <v>271</v>
      </c>
      <c r="C322" s="160" t="s">
        <v>207</v>
      </c>
      <c r="D322" s="160" t="s">
        <v>274</v>
      </c>
      <c r="E322" s="161"/>
      <c r="F322" s="122">
        <f t="shared" si="31"/>
        <v>449589488.68000001</v>
      </c>
      <c r="G322" s="122">
        <f t="shared" si="31"/>
        <v>11741386.74</v>
      </c>
      <c r="H322" s="122">
        <f t="shared" si="31"/>
        <v>0</v>
      </c>
    </row>
    <row r="323" spans="1:8" ht="15" x14ac:dyDescent="0.25">
      <c r="A323" s="162" t="s">
        <v>273</v>
      </c>
      <c r="B323" s="163" t="s">
        <v>271</v>
      </c>
      <c r="C323" s="163" t="s">
        <v>207</v>
      </c>
      <c r="D323" s="163" t="s">
        <v>274</v>
      </c>
      <c r="E323" s="164" t="s">
        <v>277</v>
      </c>
      <c r="F323" s="31">
        <f>'Приложение 3'!F234+'Приложение 3'!F236</f>
        <v>449589488.68000001</v>
      </c>
      <c r="G323" s="31">
        <f>'Приложение 3'!G234+'Приложение 3'!G236</f>
        <v>11741386.74</v>
      </c>
      <c r="H323" s="31">
        <f>'Приложение 3'!H234+'Приложение 3'!H236</f>
        <v>0</v>
      </c>
    </row>
  </sheetData>
  <autoFilter ref="A14:I323"/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54" fitToHeight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4"/>
  <sheetViews>
    <sheetView zoomScaleNormal="100" workbookViewId="0">
      <selection activeCell="H7" sqref="H7:I8"/>
    </sheetView>
  </sheetViews>
  <sheetFormatPr defaultColWidth="9.140625" defaultRowHeight="15.75" x14ac:dyDescent="0.25"/>
  <cols>
    <col min="1" max="1" width="60.85546875" style="2" customWidth="1"/>
    <col min="2" max="2" width="9.85546875" style="2" customWidth="1"/>
    <col min="3" max="3" width="6.140625" style="128" customWidth="1"/>
    <col min="4" max="4" width="6" style="128" customWidth="1"/>
    <col min="5" max="5" width="17.5703125" style="2" customWidth="1"/>
    <col min="6" max="6" width="8" style="2" customWidth="1"/>
    <col min="7" max="7" width="19.28515625" style="129" customWidth="1"/>
    <col min="8" max="8" width="21" style="133" customWidth="1"/>
    <col min="9" max="9" width="21" style="92" customWidth="1"/>
    <col min="10" max="11" width="9.140625" style="1" customWidth="1"/>
    <col min="12" max="16384" width="9.140625" style="1"/>
  </cols>
  <sheetData>
    <row r="1" spans="1:9" ht="15" x14ac:dyDescent="0.25">
      <c r="H1" s="129"/>
      <c r="I1" s="129"/>
    </row>
    <row r="2" spans="1:9" ht="18.75" x14ac:dyDescent="0.3">
      <c r="E2" s="130"/>
      <c r="H2" s="131" t="s">
        <v>426</v>
      </c>
      <c r="I2" s="129"/>
    </row>
    <row r="3" spans="1:9" ht="18.75" x14ac:dyDescent="0.3">
      <c r="E3" s="130"/>
      <c r="H3" s="131" t="s">
        <v>192</v>
      </c>
      <c r="I3" s="129"/>
    </row>
    <row r="4" spans="1:9" ht="18.75" x14ac:dyDescent="0.3">
      <c r="E4" s="130"/>
      <c r="H4" s="131" t="s">
        <v>17</v>
      </c>
      <c r="I4" s="129"/>
    </row>
    <row r="5" spans="1:9" ht="18.75" x14ac:dyDescent="0.3">
      <c r="E5" s="130"/>
      <c r="H5" s="131" t="s">
        <v>18</v>
      </c>
      <c r="I5" s="129"/>
    </row>
    <row r="6" spans="1:9" ht="18.75" x14ac:dyDescent="0.3">
      <c r="E6" s="130"/>
      <c r="H6" s="131" t="s">
        <v>19</v>
      </c>
      <c r="I6" s="129"/>
    </row>
    <row r="7" spans="1:9" ht="18.75" x14ac:dyDescent="0.3">
      <c r="E7" s="130"/>
      <c r="H7" s="131" t="s">
        <v>699</v>
      </c>
      <c r="I7" s="129"/>
    </row>
    <row r="8" spans="1:9" ht="18.75" x14ac:dyDescent="0.3">
      <c r="E8" s="130"/>
      <c r="H8" s="131" t="s">
        <v>700</v>
      </c>
      <c r="I8" s="129"/>
    </row>
    <row r="9" spans="1:9" ht="15" x14ac:dyDescent="0.25">
      <c r="H9" s="129"/>
      <c r="I9" s="129"/>
    </row>
    <row r="11" spans="1:9" ht="59.25" customHeight="1" x14ac:dyDescent="0.25">
      <c r="B11" s="165"/>
    </row>
    <row r="12" spans="1:9" ht="55.5" customHeight="1" x14ac:dyDescent="0.25">
      <c r="A12" s="389" t="s">
        <v>441</v>
      </c>
      <c r="B12" s="389"/>
      <c r="C12" s="389"/>
      <c r="D12" s="389"/>
      <c r="E12" s="389"/>
      <c r="F12" s="389"/>
      <c r="G12" s="389"/>
      <c r="H12" s="389"/>
      <c r="I12" s="389"/>
    </row>
    <row r="13" spans="1:9" x14ac:dyDescent="0.25">
      <c r="B13" s="165"/>
    </row>
    <row r="14" spans="1:9" s="91" customFormat="1" x14ac:dyDescent="0.25">
      <c r="A14" s="2"/>
      <c r="B14" s="165"/>
      <c r="C14" s="128"/>
      <c r="D14" s="128"/>
      <c r="E14" s="2"/>
      <c r="F14" s="2"/>
      <c r="G14" s="132"/>
      <c r="H14" s="133"/>
      <c r="I14" s="132" t="s">
        <v>164</v>
      </c>
    </row>
    <row r="15" spans="1:9" s="90" customFormat="1" ht="30" x14ac:dyDescent="0.25">
      <c r="A15" s="58" t="s">
        <v>21</v>
      </c>
      <c r="B15" s="100" t="s">
        <v>297</v>
      </c>
      <c r="C15" s="134" t="s">
        <v>193</v>
      </c>
      <c r="D15" s="134" t="s">
        <v>194</v>
      </c>
      <c r="E15" s="58" t="s">
        <v>165</v>
      </c>
      <c r="F15" s="58" t="s">
        <v>166</v>
      </c>
      <c r="G15" s="101" t="s">
        <v>22</v>
      </c>
      <c r="H15" s="101" t="s">
        <v>152</v>
      </c>
      <c r="I15" s="101" t="s">
        <v>434</v>
      </c>
    </row>
    <row r="16" spans="1:9" s="90" customFormat="1" ht="31.5" x14ac:dyDescent="0.25">
      <c r="A16" s="120" t="s">
        <v>295</v>
      </c>
      <c r="B16" s="103">
        <v>701</v>
      </c>
      <c r="C16" s="134"/>
      <c r="D16" s="134"/>
      <c r="E16" s="58"/>
      <c r="F16" s="58"/>
      <c r="G16" s="166">
        <f>G17+G75+G83+G117+G122+G128+G207+G240+G300+G320+G235</f>
        <v>3638909368.3600001</v>
      </c>
      <c r="H16" s="166">
        <f>H17+H75+H83+H117+H122+H128+H207+H240+H300+H320</f>
        <v>2607918175.8900003</v>
      </c>
      <c r="I16" s="166">
        <f>I17+I75+I83+I117+I122+I128+I207+I240+I300+I320</f>
        <v>2591859342.0500002</v>
      </c>
    </row>
    <row r="17" spans="1:9" x14ac:dyDescent="0.25">
      <c r="A17" s="82" t="s">
        <v>196</v>
      </c>
      <c r="B17" s="103">
        <v>701</v>
      </c>
      <c r="C17" s="107" t="s">
        <v>197</v>
      </c>
      <c r="D17" s="107"/>
      <c r="E17" s="107"/>
      <c r="F17" s="107"/>
      <c r="G17" s="108">
        <f>G18+G22+G28+G35+G40+G44+G48</f>
        <v>883740816.81000006</v>
      </c>
      <c r="H17" s="108">
        <f>H18+H22+H28+H35+H40+H44+H48</f>
        <v>733499445.72000003</v>
      </c>
      <c r="I17" s="108">
        <f>I18+I22+I28+I35+I40+I44+I48</f>
        <v>783668070.72000003</v>
      </c>
    </row>
    <row r="18" spans="1:9" ht="47.25" x14ac:dyDescent="0.25">
      <c r="A18" s="82" t="s">
        <v>198</v>
      </c>
      <c r="B18" s="103">
        <v>701</v>
      </c>
      <c r="C18" s="107" t="s">
        <v>197</v>
      </c>
      <c r="D18" s="107" t="s">
        <v>199</v>
      </c>
      <c r="E18" s="107"/>
      <c r="F18" s="107"/>
      <c r="G18" s="108">
        <f t="shared" ref="G18:I20" si="0">G19</f>
        <v>8254050</v>
      </c>
      <c r="H18" s="108">
        <f t="shared" si="0"/>
        <v>8183550</v>
      </c>
      <c r="I18" s="108">
        <f t="shared" si="0"/>
        <v>8269250</v>
      </c>
    </row>
    <row r="19" spans="1:9" s="138" customFormat="1" x14ac:dyDescent="0.25">
      <c r="A19" s="82" t="s">
        <v>200</v>
      </c>
      <c r="B19" s="103">
        <v>701</v>
      </c>
      <c r="C19" s="107" t="s">
        <v>197</v>
      </c>
      <c r="D19" s="107" t="s">
        <v>199</v>
      </c>
      <c r="E19" s="107" t="s">
        <v>201</v>
      </c>
      <c r="F19" s="107"/>
      <c r="G19" s="108">
        <f t="shared" si="0"/>
        <v>8254050</v>
      </c>
      <c r="H19" s="108">
        <f t="shared" si="0"/>
        <v>8183550</v>
      </c>
      <c r="I19" s="108">
        <f t="shared" si="0"/>
        <v>8269250</v>
      </c>
    </row>
    <row r="20" spans="1:9" ht="30.75" x14ac:dyDescent="0.25">
      <c r="A20" s="72" t="s">
        <v>202</v>
      </c>
      <c r="B20" s="103">
        <v>701</v>
      </c>
      <c r="C20" s="109" t="s">
        <v>197</v>
      </c>
      <c r="D20" s="109" t="s">
        <v>199</v>
      </c>
      <c r="E20" s="109" t="s">
        <v>203</v>
      </c>
      <c r="F20" s="109"/>
      <c r="G20" s="110">
        <f t="shared" si="0"/>
        <v>8254050</v>
      </c>
      <c r="H20" s="110">
        <f t="shared" si="0"/>
        <v>8183550</v>
      </c>
      <c r="I20" s="110">
        <f t="shared" si="0"/>
        <v>8269250</v>
      </c>
    </row>
    <row r="21" spans="1:9" ht="75.75" x14ac:dyDescent="0.25">
      <c r="A21" s="72" t="s">
        <v>169</v>
      </c>
      <c r="B21" s="103">
        <v>701</v>
      </c>
      <c r="C21" s="109" t="s">
        <v>197</v>
      </c>
      <c r="D21" s="109" t="s">
        <v>199</v>
      </c>
      <c r="E21" s="109" t="s">
        <v>203</v>
      </c>
      <c r="F21" s="109" t="s">
        <v>178</v>
      </c>
      <c r="G21" s="139">
        <f>'Приложение 4'!F20</f>
        <v>8254050</v>
      </c>
      <c r="H21" s="139">
        <f>'Приложение 4'!G20</f>
        <v>8183550</v>
      </c>
      <c r="I21" s="139">
        <f>'Приложение 4'!H20</f>
        <v>8269250</v>
      </c>
    </row>
    <row r="22" spans="1:9" s="138" customFormat="1" ht="63" x14ac:dyDescent="0.25">
      <c r="A22" s="82" t="s">
        <v>206</v>
      </c>
      <c r="B22" s="103">
        <v>701</v>
      </c>
      <c r="C22" s="107" t="s">
        <v>197</v>
      </c>
      <c r="D22" s="107" t="s">
        <v>207</v>
      </c>
      <c r="E22" s="107"/>
      <c r="F22" s="107"/>
      <c r="G22" s="108">
        <f t="shared" ref="G22:I23" si="1">G23</f>
        <v>4178564.08</v>
      </c>
      <c r="H22" s="108">
        <f t="shared" si="1"/>
        <v>4296164.08</v>
      </c>
      <c r="I22" s="108">
        <f t="shared" si="1"/>
        <v>4296164.08</v>
      </c>
    </row>
    <row r="23" spans="1:9" x14ac:dyDescent="0.25">
      <c r="A23" s="82" t="s">
        <v>200</v>
      </c>
      <c r="B23" s="103">
        <v>701</v>
      </c>
      <c r="C23" s="107" t="s">
        <v>197</v>
      </c>
      <c r="D23" s="107" t="s">
        <v>207</v>
      </c>
      <c r="E23" s="107" t="s">
        <v>201</v>
      </c>
      <c r="F23" s="107"/>
      <c r="G23" s="108">
        <f t="shared" si="1"/>
        <v>4178564.08</v>
      </c>
      <c r="H23" s="108">
        <f t="shared" si="1"/>
        <v>4296164.08</v>
      </c>
      <c r="I23" s="108">
        <f t="shared" si="1"/>
        <v>4296164.08</v>
      </c>
    </row>
    <row r="24" spans="1:9" ht="30.75" x14ac:dyDescent="0.25">
      <c r="A24" s="72" t="s">
        <v>202</v>
      </c>
      <c r="B24" s="103">
        <v>701</v>
      </c>
      <c r="C24" s="109" t="s">
        <v>197</v>
      </c>
      <c r="D24" s="109" t="s">
        <v>207</v>
      </c>
      <c r="E24" s="109" t="s">
        <v>203</v>
      </c>
      <c r="F24" s="109"/>
      <c r="G24" s="110">
        <f>G25+G26+G27</f>
        <v>4178564.08</v>
      </c>
      <c r="H24" s="110">
        <f>H25+H26+H27</f>
        <v>4296164.08</v>
      </c>
      <c r="I24" s="110">
        <f>I25+I26+I27</f>
        <v>4296164.08</v>
      </c>
    </row>
    <row r="25" spans="1:9" ht="75.75" x14ac:dyDescent="0.25">
      <c r="A25" s="72" t="s">
        <v>169</v>
      </c>
      <c r="B25" s="103">
        <v>701</v>
      </c>
      <c r="C25" s="109" t="s">
        <v>197</v>
      </c>
      <c r="D25" s="109" t="s">
        <v>207</v>
      </c>
      <c r="E25" s="109" t="s">
        <v>203</v>
      </c>
      <c r="F25" s="109" t="s">
        <v>178</v>
      </c>
      <c r="G25" s="110">
        <f>'Приложение 4'!F24</f>
        <v>614001.07999999996</v>
      </c>
      <c r="H25" s="110">
        <f>'Приложение 4'!G24</f>
        <v>614001.07999999996</v>
      </c>
      <c r="I25" s="110">
        <f>'Приложение 4'!H24</f>
        <v>614001.07999999996</v>
      </c>
    </row>
    <row r="26" spans="1:9" ht="30.75" x14ac:dyDescent="0.25">
      <c r="A26" s="72" t="s">
        <v>170</v>
      </c>
      <c r="B26" s="103">
        <v>701</v>
      </c>
      <c r="C26" s="109" t="s">
        <v>197</v>
      </c>
      <c r="D26" s="109" t="s">
        <v>207</v>
      </c>
      <c r="E26" s="109" t="s">
        <v>203</v>
      </c>
      <c r="F26" s="109" t="s">
        <v>181</v>
      </c>
      <c r="G26" s="110">
        <f>'Приложение 4'!F25</f>
        <v>3544563</v>
      </c>
      <c r="H26" s="110">
        <f>'Приложение 4'!G25</f>
        <v>3662163</v>
      </c>
      <c r="I26" s="110">
        <f>'Приложение 4'!H25</f>
        <v>3662163</v>
      </c>
    </row>
    <row r="27" spans="1:9" x14ac:dyDescent="0.25">
      <c r="A27" s="72" t="s">
        <v>172</v>
      </c>
      <c r="B27" s="103">
        <v>701</v>
      </c>
      <c r="C27" s="109" t="s">
        <v>197</v>
      </c>
      <c r="D27" s="109" t="s">
        <v>207</v>
      </c>
      <c r="E27" s="109" t="s">
        <v>203</v>
      </c>
      <c r="F27" s="109" t="s">
        <v>179</v>
      </c>
      <c r="G27" s="110">
        <f>'Приложение 4'!F26</f>
        <v>20000</v>
      </c>
      <c r="H27" s="110">
        <f>'Приложение 4'!G26</f>
        <v>20000</v>
      </c>
      <c r="I27" s="110">
        <f>'Приложение 4'!H26</f>
        <v>20000</v>
      </c>
    </row>
    <row r="28" spans="1:9" ht="63" x14ac:dyDescent="0.25">
      <c r="A28" s="112" t="s">
        <v>210</v>
      </c>
      <c r="B28" s="103">
        <v>701</v>
      </c>
      <c r="C28" s="107" t="s">
        <v>197</v>
      </c>
      <c r="D28" s="107" t="s">
        <v>211</v>
      </c>
      <c r="E28" s="107"/>
      <c r="F28" s="107"/>
      <c r="G28" s="108">
        <f t="shared" ref="G28:I29" si="2">G29</f>
        <v>68683279.25</v>
      </c>
      <c r="H28" s="108">
        <f t="shared" si="2"/>
        <v>67858276</v>
      </c>
      <c r="I28" s="108">
        <f t="shared" si="2"/>
        <v>67858276</v>
      </c>
    </row>
    <row r="29" spans="1:9" x14ac:dyDescent="0.25">
      <c r="A29" s="82" t="s">
        <v>200</v>
      </c>
      <c r="B29" s="103">
        <v>701</v>
      </c>
      <c r="C29" s="107" t="s">
        <v>197</v>
      </c>
      <c r="D29" s="107" t="s">
        <v>211</v>
      </c>
      <c r="E29" s="107" t="s">
        <v>201</v>
      </c>
      <c r="F29" s="107"/>
      <c r="G29" s="108">
        <f t="shared" si="2"/>
        <v>68683279.25</v>
      </c>
      <c r="H29" s="108">
        <f t="shared" si="2"/>
        <v>67858276</v>
      </c>
      <c r="I29" s="108">
        <f t="shared" si="2"/>
        <v>67858276</v>
      </c>
    </row>
    <row r="30" spans="1:9" ht="30.75" x14ac:dyDescent="0.25">
      <c r="A30" s="72" t="s">
        <v>202</v>
      </c>
      <c r="B30" s="103">
        <v>701</v>
      </c>
      <c r="C30" s="109" t="s">
        <v>197</v>
      </c>
      <c r="D30" s="109" t="s">
        <v>211</v>
      </c>
      <c r="E30" s="109" t="s">
        <v>203</v>
      </c>
      <c r="F30" s="109"/>
      <c r="G30" s="110">
        <f>SUM(G31:G34)</f>
        <v>68683279.25</v>
      </c>
      <c r="H30" s="110">
        <f>SUM(H31:H34)</f>
        <v>67858276</v>
      </c>
      <c r="I30" s="110">
        <f>SUM(I31:I34)</f>
        <v>67858276</v>
      </c>
    </row>
    <row r="31" spans="1:9" ht="75.75" x14ac:dyDescent="0.25">
      <c r="A31" s="72" t="s">
        <v>169</v>
      </c>
      <c r="B31" s="103">
        <v>701</v>
      </c>
      <c r="C31" s="109" t="s">
        <v>197</v>
      </c>
      <c r="D31" s="109" t="s">
        <v>211</v>
      </c>
      <c r="E31" s="109" t="s">
        <v>203</v>
      </c>
      <c r="F31" s="109" t="s">
        <v>178</v>
      </c>
      <c r="G31" s="110">
        <f>'Приложение 4'!F30</f>
        <v>63645249</v>
      </c>
      <c r="H31" s="110">
        <f>'Приложение 4'!G30</f>
        <v>62991857</v>
      </c>
      <c r="I31" s="110">
        <f>'Приложение 4'!H30</f>
        <v>62991857</v>
      </c>
    </row>
    <row r="32" spans="1:9" s="138" customFormat="1" ht="30.75" x14ac:dyDescent="0.25">
      <c r="A32" s="72" t="s">
        <v>170</v>
      </c>
      <c r="B32" s="103">
        <v>701</v>
      </c>
      <c r="C32" s="109" t="s">
        <v>197</v>
      </c>
      <c r="D32" s="109" t="s">
        <v>211</v>
      </c>
      <c r="E32" s="109" t="s">
        <v>203</v>
      </c>
      <c r="F32" s="109" t="s">
        <v>181</v>
      </c>
      <c r="G32" s="110">
        <f>'Приложение 4'!F31</f>
        <v>4842698.25</v>
      </c>
      <c r="H32" s="110">
        <f>'Приложение 4'!G31</f>
        <v>4721087</v>
      </c>
      <c r="I32" s="110">
        <f>'Приложение 4'!H31</f>
        <v>4721087</v>
      </c>
    </row>
    <row r="33" spans="1:9" s="138" customFormat="1" x14ac:dyDescent="0.25">
      <c r="A33" s="72" t="s">
        <v>171</v>
      </c>
      <c r="B33" s="103">
        <v>701</v>
      </c>
      <c r="C33" s="109" t="s">
        <v>197</v>
      </c>
      <c r="D33" s="109" t="s">
        <v>211</v>
      </c>
      <c r="E33" s="109" t="s">
        <v>203</v>
      </c>
      <c r="F33" s="109" t="s">
        <v>183</v>
      </c>
      <c r="G33" s="110">
        <f>'Приложение 4'!F32</f>
        <v>50000</v>
      </c>
      <c r="H33" s="110">
        <f>'Приложение 4'!G32</f>
        <v>0</v>
      </c>
      <c r="I33" s="110">
        <f>'Приложение 4'!H32</f>
        <v>0</v>
      </c>
    </row>
    <row r="34" spans="1:9" s="138" customFormat="1" x14ac:dyDescent="0.25">
      <c r="A34" s="72" t="s">
        <v>172</v>
      </c>
      <c r="B34" s="103">
        <v>701</v>
      </c>
      <c r="C34" s="109" t="s">
        <v>197</v>
      </c>
      <c r="D34" s="109" t="s">
        <v>211</v>
      </c>
      <c r="E34" s="109" t="s">
        <v>203</v>
      </c>
      <c r="F34" s="109" t="s">
        <v>179</v>
      </c>
      <c r="G34" s="110">
        <f>'Приложение 4'!F33</f>
        <v>145332</v>
      </c>
      <c r="H34" s="110">
        <f>'Приложение 4'!G33</f>
        <v>145332</v>
      </c>
      <c r="I34" s="110">
        <f>'Приложение 4'!H33</f>
        <v>145332</v>
      </c>
    </row>
    <row r="35" spans="1:9" s="138" customFormat="1" ht="47.25" x14ac:dyDescent="0.25">
      <c r="A35" s="82" t="s">
        <v>214</v>
      </c>
      <c r="B35" s="103">
        <v>701</v>
      </c>
      <c r="C35" s="107" t="s">
        <v>197</v>
      </c>
      <c r="D35" s="107" t="s">
        <v>215</v>
      </c>
      <c r="E35" s="107"/>
      <c r="F35" s="107"/>
      <c r="G35" s="108">
        <f t="shared" ref="G35:I36" si="3">G36</f>
        <v>44333048.509999998</v>
      </c>
      <c r="H35" s="108">
        <f t="shared" si="3"/>
        <v>43965194.469999999</v>
      </c>
      <c r="I35" s="108">
        <f t="shared" si="3"/>
        <v>44046039.469999999</v>
      </c>
    </row>
    <row r="36" spans="1:9" x14ac:dyDescent="0.25">
      <c r="A36" s="82" t="s">
        <v>200</v>
      </c>
      <c r="B36" s="103">
        <v>701</v>
      </c>
      <c r="C36" s="107" t="s">
        <v>197</v>
      </c>
      <c r="D36" s="107" t="s">
        <v>215</v>
      </c>
      <c r="E36" s="107" t="s">
        <v>201</v>
      </c>
      <c r="F36" s="107"/>
      <c r="G36" s="108">
        <f t="shared" si="3"/>
        <v>44333048.509999998</v>
      </c>
      <c r="H36" s="108">
        <f t="shared" si="3"/>
        <v>43965194.469999999</v>
      </c>
      <c r="I36" s="108">
        <f t="shared" si="3"/>
        <v>44046039.469999999</v>
      </c>
    </row>
    <row r="37" spans="1:9" ht="30.75" x14ac:dyDescent="0.25">
      <c r="A37" s="72" t="s">
        <v>202</v>
      </c>
      <c r="B37" s="103">
        <v>701</v>
      </c>
      <c r="C37" s="109" t="s">
        <v>197</v>
      </c>
      <c r="D37" s="109" t="s">
        <v>215</v>
      </c>
      <c r="E37" s="109" t="s">
        <v>203</v>
      </c>
      <c r="F37" s="109"/>
      <c r="G37" s="110">
        <f>SUM(G38:G39)</f>
        <v>44333048.509999998</v>
      </c>
      <c r="H37" s="110">
        <f>SUM(H38:H39)</f>
        <v>43965194.469999999</v>
      </c>
      <c r="I37" s="110">
        <f>SUM(I38:I39)</f>
        <v>44046039.469999999</v>
      </c>
    </row>
    <row r="38" spans="1:9" ht="75.75" x14ac:dyDescent="0.25">
      <c r="A38" s="72" t="s">
        <v>169</v>
      </c>
      <c r="B38" s="103">
        <v>701</v>
      </c>
      <c r="C38" s="109" t="s">
        <v>197</v>
      </c>
      <c r="D38" s="109" t="s">
        <v>215</v>
      </c>
      <c r="E38" s="109" t="s">
        <v>203</v>
      </c>
      <c r="F38" s="109" t="s">
        <v>178</v>
      </c>
      <c r="G38" s="110">
        <f>'Приложение 4'!F37</f>
        <v>41409175.509999998</v>
      </c>
      <c r="H38" s="110">
        <f>'Приложение 4'!G37</f>
        <v>40913321.469999999</v>
      </c>
      <c r="I38" s="110">
        <f>'Приложение 4'!H37</f>
        <v>40994166.469999999</v>
      </c>
    </row>
    <row r="39" spans="1:9" ht="30.75" x14ac:dyDescent="0.25">
      <c r="A39" s="72" t="s">
        <v>170</v>
      </c>
      <c r="B39" s="103">
        <v>701</v>
      </c>
      <c r="C39" s="109" t="s">
        <v>197</v>
      </c>
      <c r="D39" s="109" t="s">
        <v>215</v>
      </c>
      <c r="E39" s="109" t="s">
        <v>203</v>
      </c>
      <c r="F39" s="109" t="s">
        <v>181</v>
      </c>
      <c r="G39" s="110">
        <f>'Приложение 4'!F38</f>
        <v>2923873</v>
      </c>
      <c r="H39" s="110">
        <f>'Приложение 4'!G38</f>
        <v>3051873</v>
      </c>
      <c r="I39" s="110">
        <f>'Приложение 4'!H38</f>
        <v>3051873</v>
      </c>
    </row>
    <row r="40" spans="1:9" s="64" customFormat="1" ht="31.5" x14ac:dyDescent="0.25">
      <c r="A40" s="82" t="s">
        <v>282</v>
      </c>
      <c r="B40" s="103">
        <v>701</v>
      </c>
      <c r="C40" s="107" t="s">
        <v>197</v>
      </c>
      <c r="D40" s="107" t="s">
        <v>248</v>
      </c>
      <c r="E40" s="107"/>
      <c r="F40" s="107"/>
      <c r="G40" s="108">
        <f>G41</f>
        <v>13979702</v>
      </c>
      <c r="H40" s="108">
        <f t="shared" ref="H40:I42" si="4">H41</f>
        <v>0</v>
      </c>
      <c r="I40" s="108">
        <f t="shared" si="4"/>
        <v>0</v>
      </c>
    </row>
    <row r="41" spans="1:9" s="64" customFormat="1" x14ac:dyDescent="0.25">
      <c r="A41" s="82" t="s">
        <v>200</v>
      </c>
      <c r="B41" s="103">
        <v>701</v>
      </c>
      <c r="C41" s="107" t="s">
        <v>197</v>
      </c>
      <c r="D41" s="107" t="s">
        <v>248</v>
      </c>
      <c r="E41" s="107" t="s">
        <v>201</v>
      </c>
      <c r="F41" s="107"/>
      <c r="G41" s="108">
        <f>G42</f>
        <v>13979702</v>
      </c>
      <c r="H41" s="108">
        <f t="shared" si="4"/>
        <v>0</v>
      </c>
      <c r="I41" s="108">
        <f t="shared" si="4"/>
        <v>0</v>
      </c>
    </row>
    <row r="42" spans="1:9" x14ac:dyDescent="0.25">
      <c r="A42" s="72" t="s">
        <v>281</v>
      </c>
      <c r="B42" s="100">
        <v>701</v>
      </c>
      <c r="C42" s="109" t="s">
        <v>197</v>
      </c>
      <c r="D42" s="109" t="s">
        <v>248</v>
      </c>
      <c r="E42" s="109" t="s">
        <v>280</v>
      </c>
      <c r="F42" s="109"/>
      <c r="G42" s="110">
        <f>G43</f>
        <v>13979702</v>
      </c>
      <c r="H42" s="110">
        <f t="shared" si="4"/>
        <v>0</v>
      </c>
      <c r="I42" s="110">
        <f t="shared" si="4"/>
        <v>0</v>
      </c>
    </row>
    <row r="43" spans="1:9" x14ac:dyDescent="0.25">
      <c r="A43" s="72" t="s">
        <v>172</v>
      </c>
      <c r="B43" s="100">
        <v>701</v>
      </c>
      <c r="C43" s="109" t="s">
        <v>197</v>
      </c>
      <c r="D43" s="109" t="s">
        <v>248</v>
      </c>
      <c r="E43" s="109" t="s">
        <v>280</v>
      </c>
      <c r="F43" s="109" t="s">
        <v>179</v>
      </c>
      <c r="G43" s="110">
        <f>'Приложение 4'!F42</f>
        <v>13979702</v>
      </c>
      <c r="H43" s="110">
        <f>'Приложение 4'!G42</f>
        <v>0</v>
      </c>
      <c r="I43" s="110">
        <f>'Приложение 4'!H42</f>
        <v>0</v>
      </c>
    </row>
    <row r="44" spans="1:9" s="64" customFormat="1" x14ac:dyDescent="0.25">
      <c r="A44" s="82" t="s">
        <v>218</v>
      </c>
      <c r="B44" s="103">
        <v>701</v>
      </c>
      <c r="C44" s="107" t="s">
        <v>197</v>
      </c>
      <c r="D44" s="107" t="s">
        <v>219</v>
      </c>
      <c r="E44" s="107"/>
      <c r="F44" s="107"/>
      <c r="G44" s="108">
        <f>G45</f>
        <v>17294109.389999997</v>
      </c>
      <c r="H44" s="108">
        <f t="shared" ref="H44:I46" si="5">H45</f>
        <v>70000000</v>
      </c>
      <c r="I44" s="108">
        <f t="shared" si="5"/>
        <v>70000000</v>
      </c>
    </row>
    <row r="45" spans="1:9" s="64" customFormat="1" x14ac:dyDescent="0.25">
      <c r="A45" s="82" t="s">
        <v>200</v>
      </c>
      <c r="B45" s="103">
        <v>701</v>
      </c>
      <c r="C45" s="107" t="s">
        <v>197</v>
      </c>
      <c r="D45" s="107" t="s">
        <v>219</v>
      </c>
      <c r="E45" s="107" t="s">
        <v>201</v>
      </c>
      <c r="F45" s="107"/>
      <c r="G45" s="108">
        <f>G46</f>
        <v>17294109.389999997</v>
      </c>
      <c r="H45" s="108">
        <f t="shared" si="5"/>
        <v>70000000</v>
      </c>
      <c r="I45" s="108">
        <f t="shared" si="5"/>
        <v>70000000</v>
      </c>
    </row>
    <row r="46" spans="1:9" x14ac:dyDescent="0.25">
      <c r="A46" s="72" t="s">
        <v>283</v>
      </c>
      <c r="B46" s="100">
        <v>701</v>
      </c>
      <c r="C46" s="109" t="s">
        <v>197</v>
      </c>
      <c r="D46" s="109" t="s">
        <v>219</v>
      </c>
      <c r="E46" s="109" t="s">
        <v>221</v>
      </c>
      <c r="F46" s="109"/>
      <c r="G46" s="110">
        <f>G47</f>
        <v>17294109.389999997</v>
      </c>
      <c r="H46" s="110">
        <f t="shared" si="5"/>
        <v>70000000</v>
      </c>
      <c r="I46" s="110">
        <f t="shared" si="5"/>
        <v>70000000</v>
      </c>
    </row>
    <row r="47" spans="1:9" x14ac:dyDescent="0.25">
      <c r="A47" s="72" t="s">
        <v>172</v>
      </c>
      <c r="B47" s="100">
        <v>701</v>
      </c>
      <c r="C47" s="109" t="s">
        <v>197</v>
      </c>
      <c r="D47" s="109" t="s">
        <v>219</v>
      </c>
      <c r="E47" s="109" t="s">
        <v>221</v>
      </c>
      <c r="F47" s="109" t="s">
        <v>179</v>
      </c>
      <c r="G47" s="110">
        <f>'Приложение 4'!F46</f>
        <v>17294109.389999997</v>
      </c>
      <c r="H47" s="110">
        <f>'Приложение 4'!G46</f>
        <v>70000000</v>
      </c>
      <c r="I47" s="110">
        <f>'Приложение 4'!H46</f>
        <v>70000000</v>
      </c>
    </row>
    <row r="48" spans="1:9" x14ac:dyDescent="0.25">
      <c r="A48" s="82" t="s">
        <v>224</v>
      </c>
      <c r="B48" s="103">
        <v>701</v>
      </c>
      <c r="C48" s="107" t="s">
        <v>197</v>
      </c>
      <c r="D48" s="107" t="s">
        <v>225</v>
      </c>
      <c r="E48" s="107"/>
      <c r="F48" s="107"/>
      <c r="G48" s="108">
        <f>G49+G52+G62</f>
        <v>727018063.58000004</v>
      </c>
      <c r="H48" s="108">
        <f>H49+H52+H62</f>
        <v>539196261.16999996</v>
      </c>
      <c r="I48" s="108">
        <f>I49+I52+I62</f>
        <v>589198341.16999996</v>
      </c>
    </row>
    <row r="49" spans="1:9" s="64" customFormat="1" ht="47.25" x14ac:dyDescent="0.25">
      <c r="A49" s="82" t="s">
        <v>184</v>
      </c>
      <c r="B49" s="103">
        <v>701</v>
      </c>
      <c r="C49" s="107" t="s">
        <v>197</v>
      </c>
      <c r="D49" s="107" t="s">
        <v>225</v>
      </c>
      <c r="E49" s="107" t="s">
        <v>501</v>
      </c>
      <c r="F49" s="107"/>
      <c r="G49" s="108">
        <f t="shared" ref="G49:I50" si="6">G50</f>
        <v>8655947.9000000004</v>
      </c>
      <c r="H49" s="108">
        <f t="shared" si="6"/>
        <v>9735155</v>
      </c>
      <c r="I49" s="108">
        <f t="shared" si="6"/>
        <v>9735155</v>
      </c>
    </row>
    <row r="50" spans="1:9" x14ac:dyDescent="0.25">
      <c r="A50" s="72" t="s">
        <v>478</v>
      </c>
      <c r="B50" s="100">
        <v>701</v>
      </c>
      <c r="C50" s="109" t="s">
        <v>197</v>
      </c>
      <c r="D50" s="109" t="s">
        <v>225</v>
      </c>
      <c r="E50" s="109" t="s">
        <v>502</v>
      </c>
      <c r="F50" s="109"/>
      <c r="G50" s="110">
        <f t="shared" si="6"/>
        <v>8655947.9000000004</v>
      </c>
      <c r="H50" s="110">
        <f t="shared" si="6"/>
        <v>9735155</v>
      </c>
      <c r="I50" s="110">
        <f t="shared" si="6"/>
        <v>9735155</v>
      </c>
    </row>
    <row r="51" spans="1:9" ht="33.75" customHeight="1" x14ac:dyDescent="0.25">
      <c r="A51" s="72" t="s">
        <v>170</v>
      </c>
      <c r="B51" s="100">
        <v>701</v>
      </c>
      <c r="C51" s="109" t="s">
        <v>197</v>
      </c>
      <c r="D51" s="109" t="s">
        <v>225</v>
      </c>
      <c r="E51" s="109" t="s">
        <v>502</v>
      </c>
      <c r="F51" s="109" t="s">
        <v>181</v>
      </c>
      <c r="G51" s="110">
        <f>'Приложение 4'!F50</f>
        <v>8655947.9000000004</v>
      </c>
      <c r="H51" s="110">
        <f>'Приложение 4'!G50</f>
        <v>9735155</v>
      </c>
      <c r="I51" s="110">
        <f>'Приложение 4'!H50</f>
        <v>9735155</v>
      </c>
    </row>
    <row r="52" spans="1:9" s="64" customFormat="1" ht="31.5" x14ac:dyDescent="0.25">
      <c r="A52" s="82" t="s">
        <v>186</v>
      </c>
      <c r="B52" s="103">
        <v>701</v>
      </c>
      <c r="C52" s="107" t="s">
        <v>197</v>
      </c>
      <c r="D52" s="107" t="s">
        <v>225</v>
      </c>
      <c r="E52" s="107" t="s">
        <v>489</v>
      </c>
      <c r="F52" s="107"/>
      <c r="G52" s="108">
        <f>G53+G57</f>
        <v>64859267.810000002</v>
      </c>
      <c r="H52" s="108">
        <f>H53+H57</f>
        <v>53089887.049999997</v>
      </c>
      <c r="I52" s="108">
        <f>I53+I57</f>
        <v>53089887.049999997</v>
      </c>
    </row>
    <row r="53" spans="1:9" x14ac:dyDescent="0.25">
      <c r="A53" s="72" t="s">
        <v>478</v>
      </c>
      <c r="B53" s="103">
        <v>701</v>
      </c>
      <c r="C53" s="109" t="s">
        <v>197</v>
      </c>
      <c r="D53" s="109" t="s">
        <v>225</v>
      </c>
      <c r="E53" s="109" t="s">
        <v>490</v>
      </c>
      <c r="F53" s="109"/>
      <c r="G53" s="110">
        <f>SUM(G54:G56)</f>
        <v>29498446.57</v>
      </c>
      <c r="H53" s="110">
        <f>SUM(H54:H56)</f>
        <v>17120163.969999999</v>
      </c>
      <c r="I53" s="110">
        <f>SUM(I54:I56)</f>
        <v>17120163.969999999</v>
      </c>
    </row>
    <row r="54" spans="1:9" ht="30.75" x14ac:dyDescent="0.25">
      <c r="A54" s="72" t="s">
        <v>170</v>
      </c>
      <c r="B54" s="103">
        <v>701</v>
      </c>
      <c r="C54" s="109" t="s">
        <v>197</v>
      </c>
      <c r="D54" s="109" t="s">
        <v>225</v>
      </c>
      <c r="E54" s="109" t="s">
        <v>490</v>
      </c>
      <c r="F54" s="109" t="s">
        <v>181</v>
      </c>
      <c r="G54" s="110">
        <f>'Приложение 4'!F53</f>
        <v>27490833.539999999</v>
      </c>
      <c r="H54" s="110">
        <f>'Приложение 4'!G53</f>
        <v>17110163.969999999</v>
      </c>
      <c r="I54" s="110">
        <f>'Приложение 4'!H53</f>
        <v>17110163.969999999</v>
      </c>
    </row>
    <row r="55" spans="1:9" ht="30.75" x14ac:dyDescent="0.25">
      <c r="A55" s="72" t="s">
        <v>187</v>
      </c>
      <c r="B55" s="103">
        <v>701</v>
      </c>
      <c r="C55" s="109" t="s">
        <v>197</v>
      </c>
      <c r="D55" s="109" t="s">
        <v>225</v>
      </c>
      <c r="E55" s="109" t="s">
        <v>490</v>
      </c>
      <c r="F55" s="109" t="s">
        <v>185</v>
      </c>
      <c r="G55" s="110">
        <f>'Приложение 4'!F54</f>
        <v>1879190.6600000001</v>
      </c>
      <c r="H55" s="110">
        <f>'Приложение 4'!G54</f>
        <v>0</v>
      </c>
      <c r="I55" s="110">
        <f>'Приложение 4'!H54</f>
        <v>0</v>
      </c>
    </row>
    <row r="56" spans="1:9" x14ac:dyDescent="0.25">
      <c r="A56" s="72" t="s">
        <v>172</v>
      </c>
      <c r="B56" s="103">
        <v>701</v>
      </c>
      <c r="C56" s="109" t="s">
        <v>197</v>
      </c>
      <c r="D56" s="109" t="s">
        <v>225</v>
      </c>
      <c r="E56" s="109" t="s">
        <v>490</v>
      </c>
      <c r="F56" s="109" t="s">
        <v>179</v>
      </c>
      <c r="G56" s="110">
        <f>'Приложение 4'!F55</f>
        <v>128422.37</v>
      </c>
      <c r="H56" s="110">
        <f>'Приложение 4'!G55</f>
        <v>10000</v>
      </c>
      <c r="I56" s="110">
        <f>'Приложение 4'!H55</f>
        <v>10000</v>
      </c>
    </row>
    <row r="57" spans="1:9" x14ac:dyDescent="0.25">
      <c r="A57" s="72" t="s">
        <v>474</v>
      </c>
      <c r="B57" s="103">
        <v>701</v>
      </c>
      <c r="C57" s="109" t="s">
        <v>197</v>
      </c>
      <c r="D57" s="109" t="s">
        <v>225</v>
      </c>
      <c r="E57" s="109" t="s">
        <v>491</v>
      </c>
      <c r="F57" s="109"/>
      <c r="G57" s="110">
        <f>SUM(G58:G61)</f>
        <v>35360821.240000002</v>
      </c>
      <c r="H57" s="110">
        <f>SUM(H58:H61)</f>
        <v>35969723.079999998</v>
      </c>
      <c r="I57" s="110">
        <f>SUM(I58:I61)</f>
        <v>35969723.079999998</v>
      </c>
    </row>
    <row r="58" spans="1:9" ht="75.75" x14ac:dyDescent="0.25">
      <c r="A58" s="72" t="s">
        <v>169</v>
      </c>
      <c r="B58" s="100">
        <v>701</v>
      </c>
      <c r="C58" s="109" t="s">
        <v>197</v>
      </c>
      <c r="D58" s="109" t="s">
        <v>225</v>
      </c>
      <c r="E58" s="109" t="s">
        <v>491</v>
      </c>
      <c r="F58" s="109" t="s">
        <v>178</v>
      </c>
      <c r="G58" s="110">
        <f>'Приложение 4'!F57</f>
        <v>32566350</v>
      </c>
      <c r="H58" s="110">
        <f>'Приложение 4'!G57</f>
        <v>33285166.84</v>
      </c>
      <c r="I58" s="110">
        <f>'Приложение 4'!H57</f>
        <v>33285166.84</v>
      </c>
    </row>
    <row r="59" spans="1:9" s="140" customFormat="1" ht="30.75" x14ac:dyDescent="0.25">
      <c r="A59" s="72" t="s">
        <v>170</v>
      </c>
      <c r="B59" s="100">
        <v>701</v>
      </c>
      <c r="C59" s="109" t="s">
        <v>197</v>
      </c>
      <c r="D59" s="109" t="s">
        <v>225</v>
      </c>
      <c r="E59" s="109" t="s">
        <v>491</v>
      </c>
      <c r="F59" s="109" t="s">
        <v>181</v>
      </c>
      <c r="G59" s="110">
        <f>'Приложение 4'!F58</f>
        <v>2739471.24</v>
      </c>
      <c r="H59" s="110">
        <f>'Приложение 4'!G58</f>
        <v>2679556.2400000002</v>
      </c>
      <c r="I59" s="110">
        <f>'Приложение 4'!H58</f>
        <v>2679556.2400000002</v>
      </c>
    </row>
    <row r="60" spans="1:9" s="140" customFormat="1" x14ac:dyDescent="0.25">
      <c r="A60" s="72" t="s">
        <v>171</v>
      </c>
      <c r="B60" s="100">
        <v>701</v>
      </c>
      <c r="C60" s="109" t="s">
        <v>197</v>
      </c>
      <c r="D60" s="109" t="s">
        <v>225</v>
      </c>
      <c r="E60" s="109" t="s">
        <v>491</v>
      </c>
      <c r="F60" s="109" t="s">
        <v>183</v>
      </c>
      <c r="G60" s="110">
        <f>'Приложение 4'!F59</f>
        <v>50000</v>
      </c>
      <c r="H60" s="110">
        <f>'Приложение 4'!G59</f>
        <v>0</v>
      </c>
      <c r="I60" s="110">
        <f>'Приложение 4'!H59</f>
        <v>0</v>
      </c>
    </row>
    <row r="61" spans="1:9" s="140" customFormat="1" x14ac:dyDescent="0.25">
      <c r="A61" s="72" t="s">
        <v>172</v>
      </c>
      <c r="B61" s="100">
        <v>701</v>
      </c>
      <c r="C61" s="109" t="s">
        <v>197</v>
      </c>
      <c r="D61" s="109" t="s">
        <v>225</v>
      </c>
      <c r="E61" s="109" t="s">
        <v>491</v>
      </c>
      <c r="F61" s="109" t="s">
        <v>179</v>
      </c>
      <c r="G61" s="110">
        <f>'Приложение 4'!F60</f>
        <v>5000</v>
      </c>
      <c r="H61" s="110">
        <f>'Приложение 4'!G60</f>
        <v>5000</v>
      </c>
      <c r="I61" s="110">
        <f>'Приложение 4'!H60</f>
        <v>5000</v>
      </c>
    </row>
    <row r="62" spans="1:9" s="140" customFormat="1" ht="31.5" customHeight="1" x14ac:dyDescent="0.25">
      <c r="A62" s="82" t="s">
        <v>200</v>
      </c>
      <c r="B62" s="103">
        <v>701</v>
      </c>
      <c r="C62" s="107" t="s">
        <v>197</v>
      </c>
      <c r="D62" s="107" t="s">
        <v>225</v>
      </c>
      <c r="E62" s="103">
        <v>9900000000</v>
      </c>
      <c r="F62" s="107"/>
      <c r="G62" s="108">
        <f>G63+G69</f>
        <v>653502847.87</v>
      </c>
      <c r="H62" s="108">
        <f>H63+H69</f>
        <v>476371219.12</v>
      </c>
      <c r="I62" s="108">
        <f>I63+I69</f>
        <v>526373299.12</v>
      </c>
    </row>
    <row r="63" spans="1:9" s="140" customFormat="1" ht="30.75" x14ac:dyDescent="0.25">
      <c r="A63" s="72" t="s">
        <v>202</v>
      </c>
      <c r="B63" s="103">
        <v>701</v>
      </c>
      <c r="C63" s="109" t="s">
        <v>197</v>
      </c>
      <c r="D63" s="109" t="s">
        <v>225</v>
      </c>
      <c r="E63" s="100">
        <v>9910000000</v>
      </c>
      <c r="F63" s="109"/>
      <c r="G63" s="110">
        <f>SUM(G64:G68)</f>
        <v>533488634.69</v>
      </c>
      <c r="H63" s="110">
        <f>SUM(H64:H68)</f>
        <v>471754839.12</v>
      </c>
      <c r="I63" s="110">
        <f>SUM(I64:I68)</f>
        <v>471756919.12</v>
      </c>
    </row>
    <row r="64" spans="1:9" s="140" customFormat="1" ht="75.75" x14ac:dyDescent="0.25">
      <c r="A64" s="72" t="s">
        <v>169</v>
      </c>
      <c r="B64" s="103">
        <v>701</v>
      </c>
      <c r="C64" s="109" t="s">
        <v>197</v>
      </c>
      <c r="D64" s="109" t="s">
        <v>225</v>
      </c>
      <c r="E64" s="100">
        <v>9910000000</v>
      </c>
      <c r="F64" s="109" t="s">
        <v>178</v>
      </c>
      <c r="G64" s="110">
        <f>'Приложение 4'!F63</f>
        <v>139576766.51000002</v>
      </c>
      <c r="H64" s="110">
        <f>'Приложение 4'!G63</f>
        <v>139901383.13</v>
      </c>
      <c r="I64" s="110">
        <f>'Приложение 4'!H63</f>
        <v>139903463.13</v>
      </c>
    </row>
    <row r="65" spans="1:9" s="140" customFormat="1" ht="30.75" x14ac:dyDescent="0.25">
      <c r="A65" s="72" t="s">
        <v>170</v>
      </c>
      <c r="B65" s="103">
        <v>701</v>
      </c>
      <c r="C65" s="109" t="s">
        <v>197</v>
      </c>
      <c r="D65" s="109" t="s">
        <v>225</v>
      </c>
      <c r="E65" s="100">
        <v>9910000000</v>
      </c>
      <c r="F65" s="109" t="s">
        <v>181</v>
      </c>
      <c r="G65" s="110">
        <f>'Приложение 4'!F64</f>
        <v>15148840.879999999</v>
      </c>
      <c r="H65" s="110">
        <f>'Приложение 4'!G64</f>
        <v>16103028.379999999</v>
      </c>
      <c r="I65" s="110">
        <f>'Приложение 4'!H64</f>
        <v>16103028.379999999</v>
      </c>
    </row>
    <row r="66" spans="1:9" s="140" customFormat="1" x14ac:dyDescent="0.25">
      <c r="A66" s="72" t="s">
        <v>171</v>
      </c>
      <c r="B66" s="103">
        <v>701</v>
      </c>
      <c r="C66" s="109" t="s">
        <v>197</v>
      </c>
      <c r="D66" s="109" t="s">
        <v>225</v>
      </c>
      <c r="E66" s="100">
        <v>9910000000</v>
      </c>
      <c r="F66" s="109" t="s">
        <v>183</v>
      </c>
      <c r="G66" s="110">
        <f>'Приложение 4'!F65</f>
        <v>10863.52</v>
      </c>
      <c r="H66" s="110">
        <f>'Приложение 4'!G65</f>
        <v>0</v>
      </c>
      <c r="I66" s="110">
        <f>'Приложение 4'!H65</f>
        <v>0</v>
      </c>
    </row>
    <row r="67" spans="1:9" ht="63.75" customHeight="1" x14ac:dyDescent="0.25">
      <c r="A67" s="70" t="s">
        <v>173</v>
      </c>
      <c r="B67" s="103">
        <v>701</v>
      </c>
      <c r="C67" s="109" t="s">
        <v>197</v>
      </c>
      <c r="D67" s="109" t="s">
        <v>225</v>
      </c>
      <c r="E67" s="100">
        <v>9910000000</v>
      </c>
      <c r="F67" s="109" t="s">
        <v>227</v>
      </c>
      <c r="G67" s="110">
        <f>'Приложение 4'!F66</f>
        <v>377714493.77999997</v>
      </c>
      <c r="H67" s="110">
        <f>'Приложение 4'!G66</f>
        <v>314712757.61000001</v>
      </c>
      <c r="I67" s="110">
        <f>'Приложение 4'!H66</f>
        <v>314712757.61000001</v>
      </c>
    </row>
    <row r="68" spans="1:9" x14ac:dyDescent="0.25">
      <c r="A68" s="72" t="s">
        <v>172</v>
      </c>
      <c r="B68" s="103">
        <v>701</v>
      </c>
      <c r="C68" s="109" t="s">
        <v>197</v>
      </c>
      <c r="D68" s="109" t="s">
        <v>225</v>
      </c>
      <c r="E68" s="100">
        <v>9910000000</v>
      </c>
      <c r="F68" s="109" t="s">
        <v>179</v>
      </c>
      <c r="G68" s="110">
        <f>'Приложение 4'!F67</f>
        <v>1037670</v>
      </c>
      <c r="H68" s="110">
        <f>'Приложение 4'!G67</f>
        <v>1037670</v>
      </c>
      <c r="I68" s="110">
        <f>'Приложение 4'!H67</f>
        <v>1037670</v>
      </c>
    </row>
    <row r="69" spans="1:9" x14ac:dyDescent="0.25">
      <c r="A69" s="72" t="s">
        <v>220</v>
      </c>
      <c r="B69" s="100">
        <v>701</v>
      </c>
      <c r="C69" s="109" t="s">
        <v>197</v>
      </c>
      <c r="D69" s="109" t="s">
        <v>225</v>
      </c>
      <c r="E69" s="109" t="s">
        <v>221</v>
      </c>
      <c r="F69" s="109"/>
      <c r="G69" s="110">
        <f>SUM(G70:G74)</f>
        <v>120014213.18000004</v>
      </c>
      <c r="H69" s="110">
        <f>SUM(H70:H74)</f>
        <v>4616380</v>
      </c>
      <c r="I69" s="110">
        <f>SUM(I70:I74)</f>
        <v>54616380</v>
      </c>
    </row>
    <row r="70" spans="1:9" ht="75.75" x14ac:dyDescent="0.25">
      <c r="A70" s="72" t="s">
        <v>169</v>
      </c>
      <c r="B70" s="103">
        <v>701</v>
      </c>
      <c r="C70" s="109" t="s">
        <v>197</v>
      </c>
      <c r="D70" s="109" t="s">
        <v>225</v>
      </c>
      <c r="E70" s="109" t="s">
        <v>221</v>
      </c>
      <c r="F70" s="109" t="s">
        <v>178</v>
      </c>
      <c r="G70" s="110">
        <f>'Приложение 4'!F69</f>
        <v>151641</v>
      </c>
      <c r="H70" s="110">
        <f>'Приложение 4'!G69</f>
        <v>0</v>
      </c>
      <c r="I70" s="110">
        <f>'Приложение 4'!H69</f>
        <v>0</v>
      </c>
    </row>
    <row r="71" spans="1:9" ht="30.75" x14ac:dyDescent="0.25">
      <c r="A71" s="72" t="s">
        <v>170</v>
      </c>
      <c r="B71" s="103">
        <v>701</v>
      </c>
      <c r="C71" s="109" t="s">
        <v>197</v>
      </c>
      <c r="D71" s="109" t="s">
        <v>225</v>
      </c>
      <c r="E71" s="109" t="s">
        <v>221</v>
      </c>
      <c r="F71" s="109" t="s">
        <v>181</v>
      </c>
      <c r="G71" s="110">
        <f>'Приложение 4'!F70</f>
        <v>61552910.400000006</v>
      </c>
      <c r="H71" s="110">
        <f>'Приложение 4'!G70</f>
        <v>4386500</v>
      </c>
      <c r="I71" s="110">
        <f>'Приложение 4'!H70</f>
        <v>4386500</v>
      </c>
    </row>
    <row r="72" spans="1:9" x14ac:dyDescent="0.25">
      <c r="A72" s="72" t="s">
        <v>171</v>
      </c>
      <c r="B72" s="103">
        <v>701</v>
      </c>
      <c r="C72" s="109" t="s">
        <v>197</v>
      </c>
      <c r="D72" s="109" t="s">
        <v>225</v>
      </c>
      <c r="E72" s="109" t="s">
        <v>221</v>
      </c>
      <c r="F72" s="109" t="s">
        <v>183</v>
      </c>
      <c r="G72" s="110">
        <f>'Приложение 4'!F71</f>
        <v>2269148.5</v>
      </c>
      <c r="H72" s="110">
        <f>'Приложение 4'!G71</f>
        <v>229880</v>
      </c>
      <c r="I72" s="110">
        <f>'Приложение 4'!H71</f>
        <v>229880</v>
      </c>
    </row>
    <row r="73" spans="1:9" ht="30.75" x14ac:dyDescent="0.25">
      <c r="A73" s="70" t="s">
        <v>173</v>
      </c>
      <c r="B73" s="103">
        <v>701</v>
      </c>
      <c r="C73" s="109" t="s">
        <v>197</v>
      </c>
      <c r="D73" s="109" t="s">
        <v>225</v>
      </c>
      <c r="E73" s="109" t="s">
        <v>221</v>
      </c>
      <c r="F73" s="109" t="s">
        <v>227</v>
      </c>
      <c r="G73" s="110">
        <f>'Приложение 4'!F72</f>
        <v>18961747.710000001</v>
      </c>
      <c r="H73" s="110">
        <f>'Приложение 4'!G72</f>
        <v>0</v>
      </c>
      <c r="I73" s="110">
        <f>'Приложение 4'!H72</f>
        <v>0</v>
      </c>
    </row>
    <row r="74" spans="1:9" x14ac:dyDescent="0.25">
      <c r="A74" s="72" t="s">
        <v>172</v>
      </c>
      <c r="B74" s="103">
        <v>701</v>
      </c>
      <c r="C74" s="109" t="s">
        <v>197</v>
      </c>
      <c r="D74" s="109" t="s">
        <v>225</v>
      </c>
      <c r="E74" s="109" t="s">
        <v>221</v>
      </c>
      <c r="F74" s="109" t="s">
        <v>179</v>
      </c>
      <c r="G74" s="110">
        <f>'Приложение 4'!F73</f>
        <v>37078765.570000015</v>
      </c>
      <c r="H74" s="110">
        <f>'Приложение 4'!G73</f>
        <v>0</v>
      </c>
      <c r="I74" s="110">
        <f>'Приложение 4'!H73</f>
        <v>50000000</v>
      </c>
    </row>
    <row r="75" spans="1:9" ht="31.5" x14ac:dyDescent="0.25">
      <c r="A75" s="82" t="s">
        <v>230</v>
      </c>
      <c r="B75" s="103">
        <v>701</v>
      </c>
      <c r="C75" s="107" t="s">
        <v>207</v>
      </c>
      <c r="D75" s="107"/>
      <c r="E75" s="107"/>
      <c r="F75" s="107"/>
      <c r="G75" s="108">
        <f t="shared" ref="G75:I76" si="7">G76</f>
        <v>16954511.810000002</v>
      </c>
      <c r="H75" s="108">
        <f t="shared" si="7"/>
        <v>14500153</v>
      </c>
      <c r="I75" s="108">
        <f t="shared" si="7"/>
        <v>14500153</v>
      </c>
    </row>
    <row r="76" spans="1:9" ht="63" x14ac:dyDescent="0.25">
      <c r="A76" s="82" t="s">
        <v>231</v>
      </c>
      <c r="B76" s="103">
        <v>701</v>
      </c>
      <c r="C76" s="107" t="s">
        <v>207</v>
      </c>
      <c r="D76" s="107" t="s">
        <v>232</v>
      </c>
      <c r="E76" s="107"/>
      <c r="F76" s="107"/>
      <c r="G76" s="108">
        <f t="shared" si="7"/>
        <v>16954511.810000002</v>
      </c>
      <c r="H76" s="108">
        <f t="shared" si="7"/>
        <v>14500153</v>
      </c>
      <c r="I76" s="108">
        <f t="shared" si="7"/>
        <v>14500153</v>
      </c>
    </row>
    <row r="77" spans="1:9" s="140" customFormat="1" x14ac:dyDescent="0.25">
      <c r="A77" s="79" t="s">
        <v>200</v>
      </c>
      <c r="B77" s="103">
        <v>701</v>
      </c>
      <c r="C77" s="107" t="s">
        <v>207</v>
      </c>
      <c r="D77" s="107" t="s">
        <v>232</v>
      </c>
      <c r="E77" s="103">
        <v>9900000000</v>
      </c>
      <c r="F77" s="103"/>
      <c r="G77" s="108">
        <f>G78+G81</f>
        <v>16954511.810000002</v>
      </c>
      <c r="H77" s="108">
        <f>H78+H81</f>
        <v>14500153</v>
      </c>
      <c r="I77" s="108">
        <f>I78+I81</f>
        <v>14500153</v>
      </c>
    </row>
    <row r="78" spans="1:9" s="138" customFormat="1" ht="30.75" x14ac:dyDescent="0.25">
      <c r="A78" s="72" t="s">
        <v>202</v>
      </c>
      <c r="B78" s="103">
        <v>701</v>
      </c>
      <c r="C78" s="109" t="s">
        <v>207</v>
      </c>
      <c r="D78" s="109" t="s">
        <v>232</v>
      </c>
      <c r="E78" s="100">
        <v>9910000000</v>
      </c>
      <c r="F78" s="100"/>
      <c r="G78" s="110">
        <f>SUM(G79:G80)</f>
        <v>13954511.810000001</v>
      </c>
      <c r="H78" s="110">
        <f>SUM(H79:H80)</f>
        <v>13500153</v>
      </c>
      <c r="I78" s="110">
        <f>SUM(I79:I80)</f>
        <v>13500153</v>
      </c>
    </row>
    <row r="79" spans="1:9" s="140" customFormat="1" ht="75.75" x14ac:dyDescent="0.25">
      <c r="A79" s="72" t="s">
        <v>169</v>
      </c>
      <c r="B79" s="103">
        <v>701</v>
      </c>
      <c r="C79" s="109" t="s">
        <v>207</v>
      </c>
      <c r="D79" s="109" t="s">
        <v>232</v>
      </c>
      <c r="E79" s="100">
        <v>9910000000</v>
      </c>
      <c r="F79" s="109" t="s">
        <v>178</v>
      </c>
      <c r="G79" s="110">
        <f>'Приложение 4'!F78</f>
        <v>10510186.810000001</v>
      </c>
      <c r="H79" s="110">
        <f>'Приложение 4'!G78</f>
        <v>10039828</v>
      </c>
      <c r="I79" s="110">
        <f>'Приложение 4'!H78</f>
        <v>10039828</v>
      </c>
    </row>
    <row r="80" spans="1:9" s="140" customFormat="1" ht="30.75" x14ac:dyDescent="0.25">
      <c r="A80" s="72" t="s">
        <v>170</v>
      </c>
      <c r="B80" s="103">
        <v>701</v>
      </c>
      <c r="C80" s="109" t="s">
        <v>207</v>
      </c>
      <c r="D80" s="109" t="s">
        <v>232</v>
      </c>
      <c r="E80" s="100">
        <v>9910000000</v>
      </c>
      <c r="F80" s="109" t="s">
        <v>181</v>
      </c>
      <c r="G80" s="110">
        <f>'Приложение 4'!F79</f>
        <v>3444325</v>
      </c>
      <c r="H80" s="110">
        <f>'Приложение 4'!G79</f>
        <v>3460325</v>
      </c>
      <c r="I80" s="110">
        <f>'Приложение 4'!H79</f>
        <v>3460325</v>
      </c>
    </row>
    <row r="81" spans="1:9" s="140" customFormat="1" x14ac:dyDescent="0.25">
      <c r="A81" s="72" t="s">
        <v>220</v>
      </c>
      <c r="B81" s="103">
        <v>701</v>
      </c>
      <c r="C81" s="109" t="s">
        <v>207</v>
      </c>
      <c r="D81" s="109" t="s">
        <v>232</v>
      </c>
      <c r="E81" s="100">
        <v>9950000000</v>
      </c>
      <c r="F81" s="100"/>
      <c r="G81" s="110">
        <f>G82</f>
        <v>3000000</v>
      </c>
      <c r="H81" s="110">
        <f>H82</f>
        <v>1000000</v>
      </c>
      <c r="I81" s="110">
        <f>I82</f>
        <v>1000000</v>
      </c>
    </row>
    <row r="82" spans="1:9" s="141" customFormat="1" ht="30.75" x14ac:dyDescent="0.25">
      <c r="A82" s="72" t="s">
        <v>170</v>
      </c>
      <c r="B82" s="100">
        <v>701</v>
      </c>
      <c r="C82" s="109" t="s">
        <v>207</v>
      </c>
      <c r="D82" s="109" t="s">
        <v>232</v>
      </c>
      <c r="E82" s="100">
        <v>9950000000</v>
      </c>
      <c r="F82" s="100">
        <v>200</v>
      </c>
      <c r="G82" s="110">
        <f>'Приложение 4'!F81</f>
        <v>3000000</v>
      </c>
      <c r="H82" s="110">
        <f>'Приложение 4'!G81</f>
        <v>1000000</v>
      </c>
      <c r="I82" s="110">
        <f>'Приложение 4'!H81</f>
        <v>1000000</v>
      </c>
    </row>
    <row r="83" spans="1:9" s="141" customFormat="1" x14ac:dyDescent="0.25">
      <c r="A83" s="82" t="s">
        <v>235</v>
      </c>
      <c r="B83" s="103">
        <v>701</v>
      </c>
      <c r="C83" s="107" t="s">
        <v>211</v>
      </c>
      <c r="D83" s="107"/>
      <c r="E83" s="107"/>
      <c r="F83" s="107"/>
      <c r="G83" s="108">
        <f>G84+G88+G100+G104+G110</f>
        <v>357252450.33999997</v>
      </c>
      <c r="H83" s="108">
        <f>H84+H88+H100+H104+H110</f>
        <v>217082963.60000002</v>
      </c>
      <c r="I83" s="108">
        <f>I84+I88+I100+I104+I110</f>
        <v>129981057.81</v>
      </c>
    </row>
    <row r="84" spans="1:9" s="140" customFormat="1" x14ac:dyDescent="0.25">
      <c r="A84" s="82" t="s">
        <v>236</v>
      </c>
      <c r="B84" s="103">
        <v>701</v>
      </c>
      <c r="C84" s="107" t="s">
        <v>211</v>
      </c>
      <c r="D84" s="107" t="s">
        <v>197</v>
      </c>
      <c r="E84" s="107"/>
      <c r="F84" s="107"/>
      <c r="G84" s="108">
        <f>G85</f>
        <v>287876.25</v>
      </c>
      <c r="H84" s="108">
        <f t="shared" ref="H84:I86" si="8">H85</f>
        <v>287876.25</v>
      </c>
      <c r="I84" s="108">
        <f t="shared" si="8"/>
        <v>287876.25</v>
      </c>
    </row>
    <row r="85" spans="1:9" s="140" customFormat="1" x14ac:dyDescent="0.25">
      <c r="A85" s="82" t="s">
        <v>200</v>
      </c>
      <c r="B85" s="103">
        <v>701</v>
      </c>
      <c r="C85" s="107" t="s">
        <v>211</v>
      </c>
      <c r="D85" s="107" t="s">
        <v>197</v>
      </c>
      <c r="E85" s="107">
        <v>9900000000</v>
      </c>
      <c r="F85" s="107"/>
      <c r="G85" s="108">
        <f>G86</f>
        <v>287876.25</v>
      </c>
      <c r="H85" s="108">
        <f t="shared" si="8"/>
        <v>287876.25</v>
      </c>
      <c r="I85" s="108">
        <f t="shared" si="8"/>
        <v>287876.25</v>
      </c>
    </row>
    <row r="86" spans="1:9" s="140" customFormat="1" ht="30.75" x14ac:dyDescent="0.25">
      <c r="A86" s="72" t="s">
        <v>202</v>
      </c>
      <c r="B86" s="103">
        <v>701</v>
      </c>
      <c r="C86" s="109" t="s">
        <v>211</v>
      </c>
      <c r="D86" s="109" t="s">
        <v>197</v>
      </c>
      <c r="E86" s="109" t="s">
        <v>203</v>
      </c>
      <c r="F86" s="109"/>
      <c r="G86" s="110">
        <f>G87</f>
        <v>287876.25</v>
      </c>
      <c r="H86" s="110">
        <f t="shared" si="8"/>
        <v>287876.25</v>
      </c>
      <c r="I86" s="110">
        <f t="shared" si="8"/>
        <v>287876.25</v>
      </c>
    </row>
    <row r="87" spans="1:9" s="140" customFormat="1" ht="75.75" x14ac:dyDescent="0.25">
      <c r="A87" s="72" t="s">
        <v>169</v>
      </c>
      <c r="B87" s="103">
        <v>701</v>
      </c>
      <c r="C87" s="109" t="s">
        <v>211</v>
      </c>
      <c r="D87" s="109" t="s">
        <v>197</v>
      </c>
      <c r="E87" s="109" t="s">
        <v>203</v>
      </c>
      <c r="F87" s="109" t="s">
        <v>178</v>
      </c>
      <c r="G87" s="110">
        <f>'Приложение 4'!F86</f>
        <v>287876.25</v>
      </c>
      <c r="H87" s="110">
        <f>'Приложение 4'!G86</f>
        <v>287876.25</v>
      </c>
      <c r="I87" s="110">
        <f>'Приложение 4'!H86</f>
        <v>287876.25</v>
      </c>
    </row>
    <row r="88" spans="1:9" s="140" customFormat="1" x14ac:dyDescent="0.25">
      <c r="A88" s="82" t="s">
        <v>237</v>
      </c>
      <c r="B88" s="103">
        <v>701</v>
      </c>
      <c r="C88" s="107" t="s">
        <v>211</v>
      </c>
      <c r="D88" s="107" t="s">
        <v>238</v>
      </c>
      <c r="E88" s="107"/>
      <c r="F88" s="107"/>
      <c r="G88" s="108">
        <f>G89+G95</f>
        <v>133784203.58</v>
      </c>
      <c r="H88" s="108">
        <f>H89+H95</f>
        <v>58383719.510000005</v>
      </c>
      <c r="I88" s="108">
        <f>I89+I95</f>
        <v>92454747.060000002</v>
      </c>
    </row>
    <row r="89" spans="1:9" s="140" customFormat="1" ht="63" x14ac:dyDescent="0.25">
      <c r="A89" s="82" t="s">
        <v>177</v>
      </c>
      <c r="B89" s="103">
        <v>701</v>
      </c>
      <c r="C89" s="107" t="s">
        <v>211</v>
      </c>
      <c r="D89" s="107" t="s">
        <v>238</v>
      </c>
      <c r="E89" s="107" t="s">
        <v>486</v>
      </c>
      <c r="F89" s="107"/>
      <c r="G89" s="108">
        <f>G90+G92</f>
        <v>127697345.34</v>
      </c>
      <c r="H89" s="108">
        <f>H90+H92</f>
        <v>52756861.270000003</v>
      </c>
      <c r="I89" s="108">
        <f>I90+I92</f>
        <v>86827888.820000008</v>
      </c>
    </row>
    <row r="90" spans="1:9" s="140" customFormat="1" x14ac:dyDescent="0.25">
      <c r="A90" s="72" t="s">
        <v>478</v>
      </c>
      <c r="B90" s="100">
        <v>701</v>
      </c>
      <c r="C90" s="109" t="s">
        <v>211</v>
      </c>
      <c r="D90" s="109" t="s">
        <v>238</v>
      </c>
      <c r="E90" s="109" t="s">
        <v>487</v>
      </c>
      <c r="F90" s="109"/>
      <c r="G90" s="110">
        <f>G91</f>
        <v>125132800.37</v>
      </c>
      <c r="H90" s="110">
        <f>H91</f>
        <v>50382480.370000005</v>
      </c>
      <c r="I90" s="110">
        <f>I91</f>
        <v>77992918.430000007</v>
      </c>
    </row>
    <row r="91" spans="1:9" s="141" customFormat="1" x14ac:dyDescent="0.25">
      <c r="A91" s="70" t="s">
        <v>172</v>
      </c>
      <c r="B91" s="100">
        <v>701</v>
      </c>
      <c r="C91" s="109" t="s">
        <v>211</v>
      </c>
      <c r="D91" s="109" t="s">
        <v>238</v>
      </c>
      <c r="E91" s="109" t="s">
        <v>487</v>
      </c>
      <c r="F91" s="109" t="s">
        <v>179</v>
      </c>
      <c r="G91" s="110">
        <f>'Приложение 4'!F90</f>
        <v>125132800.37</v>
      </c>
      <c r="H91" s="110">
        <f>'Приложение 4'!G90</f>
        <v>50382480.370000005</v>
      </c>
      <c r="I91" s="110">
        <f>'Приложение 4'!H90</f>
        <v>77992918.430000007</v>
      </c>
    </row>
    <row r="92" spans="1:9" s="141" customFormat="1" x14ac:dyDescent="0.25">
      <c r="A92" s="72" t="s">
        <v>474</v>
      </c>
      <c r="B92" s="100">
        <v>701</v>
      </c>
      <c r="C92" s="109" t="s">
        <v>211</v>
      </c>
      <c r="D92" s="109" t="s">
        <v>238</v>
      </c>
      <c r="E92" s="109" t="s">
        <v>488</v>
      </c>
      <c r="F92" s="109"/>
      <c r="G92" s="110">
        <f>SUM(G93:G94)</f>
        <v>2564544.9699999997</v>
      </c>
      <c r="H92" s="110">
        <f>SUM(H93:H94)</f>
        <v>2374380.9</v>
      </c>
      <c r="I92" s="110">
        <f>SUM(I93:I94)</f>
        <v>8834970.3900000006</v>
      </c>
    </row>
    <row r="93" spans="1:9" s="141" customFormat="1" ht="75.75" x14ac:dyDescent="0.25">
      <c r="A93" s="72" t="s">
        <v>169</v>
      </c>
      <c r="B93" s="100">
        <v>701</v>
      </c>
      <c r="C93" s="109" t="s">
        <v>211</v>
      </c>
      <c r="D93" s="109" t="s">
        <v>238</v>
      </c>
      <c r="E93" s="109" t="s">
        <v>488</v>
      </c>
      <c r="F93" s="109" t="s">
        <v>178</v>
      </c>
      <c r="G93" s="110">
        <f>'Приложение 4'!F92</f>
        <v>1171894.42</v>
      </c>
      <c r="H93" s="110">
        <f>'Приложение 4'!G92</f>
        <v>1167894.42</v>
      </c>
      <c r="I93" s="110">
        <f>'Приложение 4'!H92</f>
        <v>6922204.6600000001</v>
      </c>
    </row>
    <row r="94" spans="1:9" s="141" customFormat="1" ht="30.75" x14ac:dyDescent="0.25">
      <c r="A94" s="70" t="s">
        <v>170</v>
      </c>
      <c r="B94" s="100">
        <v>701</v>
      </c>
      <c r="C94" s="109" t="s">
        <v>211</v>
      </c>
      <c r="D94" s="109" t="s">
        <v>238</v>
      </c>
      <c r="E94" s="109" t="s">
        <v>488</v>
      </c>
      <c r="F94" s="127">
        <v>200</v>
      </c>
      <c r="G94" s="110">
        <f>'Приложение 4'!F93</f>
        <v>1392650.55</v>
      </c>
      <c r="H94" s="110">
        <f>'Приложение 4'!G93</f>
        <v>1206486.48</v>
      </c>
      <c r="I94" s="110">
        <f>'Приложение 4'!H93</f>
        <v>1912765.73</v>
      </c>
    </row>
    <row r="95" spans="1:9" s="141" customFormat="1" x14ac:dyDescent="0.25">
      <c r="A95" s="79" t="s">
        <v>200</v>
      </c>
      <c r="B95" s="103">
        <v>701</v>
      </c>
      <c r="C95" s="107" t="s">
        <v>211</v>
      </c>
      <c r="D95" s="107" t="s">
        <v>238</v>
      </c>
      <c r="E95" s="107">
        <v>9900000000</v>
      </c>
      <c r="F95" s="100"/>
      <c r="G95" s="108">
        <f>G96+G98</f>
        <v>6086858.2400000002</v>
      </c>
      <c r="H95" s="108">
        <f>H96+H98</f>
        <v>5626858.2400000002</v>
      </c>
      <c r="I95" s="108">
        <f>I96+I98</f>
        <v>5626858.2400000002</v>
      </c>
    </row>
    <row r="96" spans="1:9" s="141" customFormat="1" ht="30.75" x14ac:dyDescent="0.25">
      <c r="A96" s="72" t="s">
        <v>202</v>
      </c>
      <c r="B96" s="100">
        <v>701</v>
      </c>
      <c r="C96" s="109" t="s">
        <v>211</v>
      </c>
      <c r="D96" s="109" t="s">
        <v>238</v>
      </c>
      <c r="E96" s="109">
        <v>9910000000</v>
      </c>
      <c r="F96" s="100"/>
      <c r="G96" s="110">
        <f>G97</f>
        <v>5626858.2400000002</v>
      </c>
      <c r="H96" s="110">
        <f>H97</f>
        <v>5626858.2400000002</v>
      </c>
      <c r="I96" s="110">
        <f>I97</f>
        <v>5626858.2400000002</v>
      </c>
    </row>
    <row r="97" spans="1:9" s="141" customFormat="1" ht="75.75" x14ac:dyDescent="0.25">
      <c r="A97" s="70" t="s">
        <v>169</v>
      </c>
      <c r="B97" s="100">
        <v>701</v>
      </c>
      <c r="C97" s="109" t="s">
        <v>211</v>
      </c>
      <c r="D97" s="109" t="s">
        <v>238</v>
      </c>
      <c r="E97" s="109">
        <v>9910000000</v>
      </c>
      <c r="F97" s="100" t="s">
        <v>178</v>
      </c>
      <c r="G97" s="110">
        <f>'Приложение 4'!F96</f>
        <v>5626858.2400000002</v>
      </c>
      <c r="H97" s="110">
        <f>'Приложение 4'!G96</f>
        <v>5626858.2400000002</v>
      </c>
      <c r="I97" s="110">
        <f>'Приложение 4'!H96</f>
        <v>5626858.2400000002</v>
      </c>
    </row>
    <row r="98" spans="1:9" s="141" customFormat="1" x14ac:dyDescent="0.25">
      <c r="A98" s="70" t="s">
        <v>220</v>
      </c>
      <c r="B98" s="100">
        <v>701</v>
      </c>
      <c r="C98" s="109" t="s">
        <v>211</v>
      </c>
      <c r="D98" s="109" t="s">
        <v>238</v>
      </c>
      <c r="E98" s="109" t="s">
        <v>221</v>
      </c>
      <c r="F98" s="100"/>
      <c r="G98" s="110">
        <f>G99</f>
        <v>460000</v>
      </c>
      <c r="H98" s="110">
        <f>H99</f>
        <v>0</v>
      </c>
      <c r="I98" s="110">
        <f>I99</f>
        <v>0</v>
      </c>
    </row>
    <row r="99" spans="1:9" s="141" customFormat="1" x14ac:dyDescent="0.25">
      <c r="A99" s="70" t="s">
        <v>171</v>
      </c>
      <c r="B99" s="100">
        <v>701</v>
      </c>
      <c r="C99" s="109" t="s">
        <v>211</v>
      </c>
      <c r="D99" s="109" t="s">
        <v>238</v>
      </c>
      <c r="E99" s="109" t="s">
        <v>221</v>
      </c>
      <c r="F99" s="100">
        <v>300</v>
      </c>
      <c r="G99" s="110">
        <f>'Приложение 4'!F98</f>
        <v>460000</v>
      </c>
      <c r="H99" s="110">
        <f>'Приложение 4'!G98</f>
        <v>0</v>
      </c>
      <c r="I99" s="110">
        <f>'Приложение 4'!H98</f>
        <v>0</v>
      </c>
    </row>
    <row r="100" spans="1:9" s="141" customFormat="1" x14ac:dyDescent="0.25">
      <c r="A100" s="79" t="s">
        <v>284</v>
      </c>
      <c r="B100" s="103">
        <v>701</v>
      </c>
      <c r="C100" s="107" t="s">
        <v>211</v>
      </c>
      <c r="D100" s="107" t="s">
        <v>255</v>
      </c>
      <c r="E100" s="103"/>
      <c r="F100" s="103"/>
      <c r="G100" s="108">
        <f>G101</f>
        <v>19720000</v>
      </c>
      <c r="H100" s="108">
        <f t="shared" ref="H100:I102" si="9">H101</f>
        <v>17150000</v>
      </c>
      <c r="I100" s="108">
        <f t="shared" si="9"/>
        <v>17150000</v>
      </c>
    </row>
    <row r="101" spans="1:9" s="141" customFormat="1" ht="31.5" x14ac:dyDescent="0.25">
      <c r="A101" s="79" t="s">
        <v>180</v>
      </c>
      <c r="B101" s="103">
        <v>701</v>
      </c>
      <c r="C101" s="107" t="s">
        <v>211</v>
      </c>
      <c r="D101" s="107" t="s">
        <v>255</v>
      </c>
      <c r="E101" s="142" t="s">
        <v>492</v>
      </c>
      <c r="F101" s="103"/>
      <c r="G101" s="108">
        <f>G102</f>
        <v>19720000</v>
      </c>
      <c r="H101" s="108">
        <f t="shared" si="9"/>
        <v>17150000</v>
      </c>
      <c r="I101" s="108">
        <f t="shared" si="9"/>
        <v>17150000</v>
      </c>
    </row>
    <row r="102" spans="1:9" s="141" customFormat="1" x14ac:dyDescent="0.25">
      <c r="A102" s="70" t="s">
        <v>478</v>
      </c>
      <c r="B102" s="103">
        <v>701</v>
      </c>
      <c r="C102" s="109" t="s">
        <v>211</v>
      </c>
      <c r="D102" s="109" t="s">
        <v>255</v>
      </c>
      <c r="E102" s="143" t="s">
        <v>504</v>
      </c>
      <c r="F102" s="100"/>
      <c r="G102" s="110">
        <f>G103</f>
        <v>19720000</v>
      </c>
      <c r="H102" s="110">
        <f t="shared" si="9"/>
        <v>17150000</v>
      </c>
      <c r="I102" s="110">
        <f t="shared" si="9"/>
        <v>17150000</v>
      </c>
    </row>
    <row r="103" spans="1:9" s="141" customFormat="1" ht="30.75" x14ac:dyDescent="0.25">
      <c r="A103" s="72" t="s">
        <v>170</v>
      </c>
      <c r="B103" s="103">
        <v>701</v>
      </c>
      <c r="C103" s="109" t="s">
        <v>211</v>
      </c>
      <c r="D103" s="109" t="s">
        <v>255</v>
      </c>
      <c r="E103" s="143" t="s">
        <v>504</v>
      </c>
      <c r="F103" s="100">
        <v>800</v>
      </c>
      <c r="G103" s="110">
        <f>'Приложение 4'!F102</f>
        <v>19720000</v>
      </c>
      <c r="H103" s="110">
        <f>'Приложение 4'!G102</f>
        <v>17150000</v>
      </c>
      <c r="I103" s="110">
        <f>'Приложение 4'!H102</f>
        <v>17150000</v>
      </c>
    </row>
    <row r="104" spans="1:9" s="141" customFormat="1" x14ac:dyDescent="0.25">
      <c r="A104" s="79" t="s">
        <v>285</v>
      </c>
      <c r="B104" s="103">
        <v>701</v>
      </c>
      <c r="C104" s="107" t="s">
        <v>211</v>
      </c>
      <c r="D104" s="107" t="s">
        <v>253</v>
      </c>
      <c r="E104" s="103"/>
      <c r="F104" s="103"/>
      <c r="G104" s="108">
        <f>G105</f>
        <v>115298540.59</v>
      </c>
      <c r="H104" s="108">
        <f t="shared" ref="H104:I106" si="10">H105</f>
        <v>136628367.84</v>
      </c>
      <c r="I104" s="108">
        <f t="shared" si="10"/>
        <v>15455434.5</v>
      </c>
    </row>
    <row r="105" spans="1:9" s="141" customFormat="1" ht="31.5" x14ac:dyDescent="0.25">
      <c r="A105" s="79" t="s">
        <v>180</v>
      </c>
      <c r="B105" s="103">
        <v>701</v>
      </c>
      <c r="C105" s="107" t="s">
        <v>211</v>
      </c>
      <c r="D105" s="107" t="s">
        <v>253</v>
      </c>
      <c r="E105" s="142" t="s">
        <v>492</v>
      </c>
      <c r="F105" s="103"/>
      <c r="G105" s="108">
        <f>G106+G108</f>
        <v>115298540.59</v>
      </c>
      <c r="H105" s="108">
        <f>H106+H108</f>
        <v>136628367.84</v>
      </c>
      <c r="I105" s="108">
        <f>I106+I108</f>
        <v>15455434.5</v>
      </c>
    </row>
    <row r="106" spans="1:9" s="141" customFormat="1" x14ac:dyDescent="0.25">
      <c r="A106" s="70" t="s">
        <v>478</v>
      </c>
      <c r="B106" s="103">
        <v>701</v>
      </c>
      <c r="C106" s="109" t="s">
        <v>211</v>
      </c>
      <c r="D106" s="109" t="s">
        <v>253</v>
      </c>
      <c r="E106" s="143" t="s">
        <v>504</v>
      </c>
      <c r="F106" s="100"/>
      <c r="G106" s="110">
        <f>G107</f>
        <v>94807966.650000006</v>
      </c>
      <c r="H106" s="110">
        <f t="shared" si="10"/>
        <v>136628367.84</v>
      </c>
      <c r="I106" s="110">
        <f t="shared" si="10"/>
        <v>15455434.5</v>
      </c>
    </row>
    <row r="107" spans="1:9" s="141" customFormat="1" ht="30.75" x14ac:dyDescent="0.25">
      <c r="A107" s="72" t="s">
        <v>170</v>
      </c>
      <c r="B107" s="103">
        <v>701</v>
      </c>
      <c r="C107" s="109" t="s">
        <v>211</v>
      </c>
      <c r="D107" s="109" t="s">
        <v>253</v>
      </c>
      <c r="E107" s="143" t="s">
        <v>504</v>
      </c>
      <c r="F107" s="100">
        <v>200</v>
      </c>
      <c r="G107" s="110">
        <f>'Приложение 4'!F106</f>
        <v>94807966.650000006</v>
      </c>
      <c r="H107" s="110">
        <f>'Приложение 4'!G106</f>
        <v>136628367.84</v>
      </c>
      <c r="I107" s="110">
        <f>'Приложение 4'!H106</f>
        <v>15455434.5</v>
      </c>
    </row>
    <row r="108" spans="1:9" s="141" customFormat="1" x14ac:dyDescent="0.25">
      <c r="A108" s="72" t="s">
        <v>474</v>
      </c>
      <c r="B108" s="103">
        <v>701</v>
      </c>
      <c r="C108" s="109" t="s">
        <v>211</v>
      </c>
      <c r="D108" s="109" t="s">
        <v>253</v>
      </c>
      <c r="E108" s="143" t="s">
        <v>624</v>
      </c>
      <c r="F108" s="100"/>
      <c r="G108" s="110">
        <f>G109</f>
        <v>20490573.940000001</v>
      </c>
      <c r="H108" s="110">
        <f>H109</f>
        <v>0</v>
      </c>
      <c r="I108" s="110">
        <f>I109</f>
        <v>0</v>
      </c>
    </row>
    <row r="109" spans="1:9" s="141" customFormat="1" ht="30.75" x14ac:dyDescent="0.25">
      <c r="A109" s="72" t="s">
        <v>170</v>
      </c>
      <c r="B109" s="103">
        <v>701</v>
      </c>
      <c r="C109" s="109" t="s">
        <v>211</v>
      </c>
      <c r="D109" s="109" t="s">
        <v>253</v>
      </c>
      <c r="E109" s="143" t="s">
        <v>624</v>
      </c>
      <c r="F109" s="100">
        <v>200</v>
      </c>
      <c r="G109" s="110">
        <f>'Приложение 4'!F108</f>
        <v>20490573.940000001</v>
      </c>
      <c r="H109" s="110">
        <f>'Приложение 4'!G108</f>
        <v>0</v>
      </c>
      <c r="I109" s="110">
        <f>'Приложение 4'!H108</f>
        <v>0</v>
      </c>
    </row>
    <row r="110" spans="1:9" s="141" customFormat="1" ht="31.5" x14ac:dyDescent="0.25">
      <c r="A110" s="79" t="s">
        <v>286</v>
      </c>
      <c r="B110" s="103">
        <v>701</v>
      </c>
      <c r="C110" s="107" t="s">
        <v>211</v>
      </c>
      <c r="D110" s="107" t="s">
        <v>287</v>
      </c>
      <c r="E110" s="103"/>
      <c r="F110" s="103"/>
      <c r="G110" s="108">
        <f>G111+G114</f>
        <v>88161829.920000002</v>
      </c>
      <c r="H110" s="108">
        <f>H111+H114</f>
        <v>4633000</v>
      </c>
      <c r="I110" s="108">
        <f>I111+I114</f>
        <v>4633000</v>
      </c>
    </row>
    <row r="111" spans="1:9" s="141" customFormat="1" ht="31.5" x14ac:dyDescent="0.25">
      <c r="A111" s="79" t="s">
        <v>176</v>
      </c>
      <c r="B111" s="103">
        <v>701</v>
      </c>
      <c r="C111" s="107" t="s">
        <v>211</v>
      </c>
      <c r="D111" s="107" t="s">
        <v>287</v>
      </c>
      <c r="E111" s="142" t="s">
        <v>484</v>
      </c>
      <c r="F111" s="103"/>
      <c r="G111" s="108">
        <f t="shared" ref="G111:I112" si="11">G112</f>
        <v>12550000</v>
      </c>
      <c r="H111" s="108">
        <f t="shared" si="11"/>
        <v>4633000</v>
      </c>
      <c r="I111" s="108">
        <f t="shared" si="11"/>
        <v>4633000</v>
      </c>
    </row>
    <row r="112" spans="1:9" s="141" customFormat="1" x14ac:dyDescent="0.25">
      <c r="A112" s="70" t="s">
        <v>478</v>
      </c>
      <c r="B112" s="103">
        <v>701</v>
      </c>
      <c r="C112" s="109" t="s">
        <v>211</v>
      </c>
      <c r="D112" s="109" t="s">
        <v>287</v>
      </c>
      <c r="E112" s="143" t="s">
        <v>485</v>
      </c>
      <c r="F112" s="100"/>
      <c r="G112" s="110">
        <f t="shared" si="11"/>
        <v>12550000</v>
      </c>
      <c r="H112" s="110">
        <f t="shared" si="11"/>
        <v>4633000</v>
      </c>
      <c r="I112" s="110">
        <f t="shared" si="11"/>
        <v>4633000</v>
      </c>
    </row>
    <row r="113" spans="1:9" s="141" customFormat="1" x14ac:dyDescent="0.25">
      <c r="A113" s="70" t="s">
        <v>172</v>
      </c>
      <c r="B113" s="103">
        <v>701</v>
      </c>
      <c r="C113" s="109" t="s">
        <v>211</v>
      </c>
      <c r="D113" s="109" t="s">
        <v>287</v>
      </c>
      <c r="E113" s="143" t="s">
        <v>485</v>
      </c>
      <c r="F113" s="100">
        <v>800</v>
      </c>
      <c r="G113" s="110">
        <f>'Приложение 4'!F112</f>
        <v>12550000</v>
      </c>
      <c r="H113" s="110">
        <f>'Приложение 4'!G112</f>
        <v>4633000</v>
      </c>
      <c r="I113" s="110">
        <f>'Приложение 4'!H112</f>
        <v>4633000</v>
      </c>
    </row>
    <row r="114" spans="1:9" s="141" customFormat="1" x14ac:dyDescent="0.25">
      <c r="A114" s="82" t="s">
        <v>200</v>
      </c>
      <c r="B114" s="103">
        <v>701</v>
      </c>
      <c r="C114" s="107" t="s">
        <v>211</v>
      </c>
      <c r="D114" s="107" t="s">
        <v>287</v>
      </c>
      <c r="E114" s="142" t="s">
        <v>201</v>
      </c>
      <c r="F114" s="103"/>
      <c r="G114" s="108">
        <f t="shared" ref="G114:I115" si="12">G115</f>
        <v>75611829.920000002</v>
      </c>
      <c r="H114" s="108">
        <f t="shared" si="12"/>
        <v>0</v>
      </c>
      <c r="I114" s="108">
        <f t="shared" si="12"/>
        <v>0</v>
      </c>
    </row>
    <row r="115" spans="1:9" s="141" customFormat="1" x14ac:dyDescent="0.25">
      <c r="A115" s="72" t="s">
        <v>220</v>
      </c>
      <c r="B115" s="103">
        <v>701</v>
      </c>
      <c r="C115" s="109" t="s">
        <v>211</v>
      </c>
      <c r="D115" s="109" t="s">
        <v>287</v>
      </c>
      <c r="E115" s="143" t="s">
        <v>221</v>
      </c>
      <c r="F115" s="100"/>
      <c r="G115" s="110">
        <f t="shared" si="12"/>
        <v>75611829.920000002</v>
      </c>
      <c r="H115" s="110">
        <f t="shared" si="12"/>
        <v>0</v>
      </c>
      <c r="I115" s="110">
        <f t="shared" si="12"/>
        <v>0</v>
      </c>
    </row>
    <row r="116" spans="1:9" s="141" customFormat="1" x14ac:dyDescent="0.25">
      <c r="A116" s="70" t="s">
        <v>172</v>
      </c>
      <c r="B116" s="103">
        <v>701</v>
      </c>
      <c r="C116" s="109" t="s">
        <v>211</v>
      </c>
      <c r="D116" s="109" t="s">
        <v>287</v>
      </c>
      <c r="E116" s="143" t="s">
        <v>221</v>
      </c>
      <c r="F116" s="100">
        <v>800</v>
      </c>
      <c r="G116" s="110">
        <f>'Приложение 4'!F115</f>
        <v>75611829.920000002</v>
      </c>
      <c r="H116" s="110">
        <f>'Приложение 4'!G115</f>
        <v>0</v>
      </c>
      <c r="I116" s="110">
        <f>'Приложение 4'!H115</f>
        <v>0</v>
      </c>
    </row>
    <row r="117" spans="1:9" s="141" customFormat="1" x14ac:dyDescent="0.25">
      <c r="A117" s="82" t="s">
        <v>240</v>
      </c>
      <c r="B117" s="103">
        <v>701</v>
      </c>
      <c r="C117" s="107" t="s">
        <v>238</v>
      </c>
      <c r="D117" s="107"/>
      <c r="E117" s="142"/>
      <c r="F117" s="103"/>
      <c r="G117" s="108">
        <f>G118</f>
        <v>12617396.949999999</v>
      </c>
      <c r="H117" s="108">
        <f t="shared" ref="H117:I120" si="13">H118</f>
        <v>0</v>
      </c>
      <c r="I117" s="108">
        <f t="shared" si="13"/>
        <v>0</v>
      </c>
    </row>
    <row r="118" spans="1:9" s="141" customFormat="1" x14ac:dyDescent="0.25">
      <c r="A118" s="82" t="s">
        <v>244</v>
      </c>
      <c r="B118" s="103">
        <v>701</v>
      </c>
      <c r="C118" s="107" t="s">
        <v>238</v>
      </c>
      <c r="D118" s="107" t="s">
        <v>207</v>
      </c>
      <c r="E118" s="142"/>
      <c r="F118" s="103"/>
      <c r="G118" s="108">
        <f>G119</f>
        <v>12617396.949999999</v>
      </c>
      <c r="H118" s="108">
        <f t="shared" si="13"/>
        <v>0</v>
      </c>
      <c r="I118" s="108">
        <f t="shared" si="13"/>
        <v>0</v>
      </c>
    </row>
    <row r="119" spans="1:9" s="141" customFormat="1" x14ac:dyDescent="0.25">
      <c r="A119" s="82" t="s">
        <v>200</v>
      </c>
      <c r="B119" s="103">
        <v>701</v>
      </c>
      <c r="C119" s="107" t="s">
        <v>238</v>
      </c>
      <c r="D119" s="107" t="s">
        <v>207</v>
      </c>
      <c r="E119" s="142" t="s">
        <v>201</v>
      </c>
      <c r="F119" s="103"/>
      <c r="G119" s="108">
        <f>G120</f>
        <v>12617396.949999999</v>
      </c>
      <c r="H119" s="108">
        <f t="shared" si="13"/>
        <v>0</v>
      </c>
      <c r="I119" s="108">
        <f t="shared" si="13"/>
        <v>0</v>
      </c>
    </row>
    <row r="120" spans="1:9" s="140" customFormat="1" x14ac:dyDescent="0.25">
      <c r="A120" s="72" t="s">
        <v>220</v>
      </c>
      <c r="B120" s="100">
        <v>701</v>
      </c>
      <c r="C120" s="109" t="s">
        <v>238</v>
      </c>
      <c r="D120" s="109" t="s">
        <v>207</v>
      </c>
      <c r="E120" s="143" t="s">
        <v>221</v>
      </c>
      <c r="F120" s="100"/>
      <c r="G120" s="110">
        <f>G121</f>
        <v>12617396.949999999</v>
      </c>
      <c r="H120" s="110">
        <f t="shared" si="13"/>
        <v>0</v>
      </c>
      <c r="I120" s="110">
        <f t="shared" si="13"/>
        <v>0</v>
      </c>
    </row>
    <row r="121" spans="1:9" s="140" customFormat="1" ht="30.75" x14ac:dyDescent="0.25">
      <c r="A121" s="72" t="s">
        <v>170</v>
      </c>
      <c r="B121" s="100">
        <v>701</v>
      </c>
      <c r="C121" s="109" t="s">
        <v>238</v>
      </c>
      <c r="D121" s="109" t="s">
        <v>207</v>
      </c>
      <c r="E121" s="143" t="s">
        <v>221</v>
      </c>
      <c r="F121" s="100">
        <v>200</v>
      </c>
      <c r="G121" s="110">
        <f>'Приложение 4'!F120</f>
        <v>12617396.949999999</v>
      </c>
      <c r="H121" s="110">
        <f>'Приложение 4'!G120</f>
        <v>0</v>
      </c>
      <c r="I121" s="110">
        <f>'Приложение 4'!H120</f>
        <v>0</v>
      </c>
    </row>
    <row r="122" spans="1:9" s="141" customFormat="1" x14ac:dyDescent="0.25">
      <c r="A122" s="79" t="s">
        <v>288</v>
      </c>
      <c r="B122" s="103">
        <v>701</v>
      </c>
      <c r="C122" s="107" t="s">
        <v>215</v>
      </c>
      <c r="D122" s="107"/>
      <c r="E122" s="103"/>
      <c r="F122" s="103"/>
      <c r="G122" s="108">
        <f>G123</f>
        <v>18677135.25</v>
      </c>
      <c r="H122" s="108">
        <f t="shared" ref="H122:I124" si="14">H123</f>
        <v>29482310.27</v>
      </c>
      <c r="I122" s="108">
        <f t="shared" si="14"/>
        <v>30661602.690000001</v>
      </c>
    </row>
    <row r="123" spans="1:9" s="141" customFormat="1" ht="31.5" x14ac:dyDescent="0.25">
      <c r="A123" s="82" t="s">
        <v>289</v>
      </c>
      <c r="B123" s="103">
        <v>701</v>
      </c>
      <c r="C123" s="107" t="s">
        <v>215</v>
      </c>
      <c r="D123" s="107" t="s">
        <v>207</v>
      </c>
      <c r="E123" s="142"/>
      <c r="F123" s="103"/>
      <c r="G123" s="108">
        <f>G124</f>
        <v>18677135.25</v>
      </c>
      <c r="H123" s="108">
        <f t="shared" si="14"/>
        <v>29482310.27</v>
      </c>
      <c r="I123" s="108">
        <f t="shared" si="14"/>
        <v>30661602.690000001</v>
      </c>
    </row>
    <row r="124" spans="1:9" s="141" customFormat="1" ht="31.5" x14ac:dyDescent="0.25">
      <c r="A124" s="79" t="s">
        <v>290</v>
      </c>
      <c r="B124" s="103">
        <v>701</v>
      </c>
      <c r="C124" s="107" t="s">
        <v>215</v>
      </c>
      <c r="D124" s="107" t="s">
        <v>207</v>
      </c>
      <c r="E124" s="144">
        <v>7100000000</v>
      </c>
      <c r="F124" s="145"/>
      <c r="G124" s="108">
        <f>G125</f>
        <v>18677135.25</v>
      </c>
      <c r="H124" s="108">
        <f t="shared" si="14"/>
        <v>29482310.27</v>
      </c>
      <c r="I124" s="108">
        <f t="shared" si="14"/>
        <v>30661602.690000001</v>
      </c>
    </row>
    <row r="125" spans="1:9" s="140" customFormat="1" x14ac:dyDescent="0.25">
      <c r="A125" s="70" t="s">
        <v>478</v>
      </c>
      <c r="B125" s="100">
        <v>701</v>
      </c>
      <c r="C125" s="109" t="s">
        <v>215</v>
      </c>
      <c r="D125" s="109" t="s">
        <v>207</v>
      </c>
      <c r="E125" s="127">
        <v>7130000000</v>
      </c>
      <c r="F125" s="146"/>
      <c r="G125" s="110">
        <f>SUM(G126:G127)</f>
        <v>18677135.25</v>
      </c>
      <c r="H125" s="110">
        <f>SUM(H126:H127)</f>
        <v>29482310.27</v>
      </c>
      <c r="I125" s="110">
        <f>SUM(I126:I127)</f>
        <v>30661602.690000001</v>
      </c>
    </row>
    <row r="126" spans="1:9" s="140" customFormat="1" ht="30.75" x14ac:dyDescent="0.25">
      <c r="A126" s="70" t="s">
        <v>170</v>
      </c>
      <c r="B126" s="100">
        <v>701</v>
      </c>
      <c r="C126" s="109" t="s">
        <v>215</v>
      </c>
      <c r="D126" s="109" t="s">
        <v>207</v>
      </c>
      <c r="E126" s="127">
        <v>7130000000</v>
      </c>
      <c r="F126" s="127">
        <v>200</v>
      </c>
      <c r="G126" s="110">
        <f>'Приложение 4'!F125</f>
        <v>11874767.850000001</v>
      </c>
      <c r="H126" s="110">
        <f>'Приложение 4'!G125</f>
        <v>29482310.27</v>
      </c>
      <c r="I126" s="110">
        <f>'Приложение 4'!H125</f>
        <v>30661602.690000001</v>
      </c>
    </row>
    <row r="127" spans="1:9" s="140" customFormat="1" x14ac:dyDescent="0.25">
      <c r="A127" s="162" t="s">
        <v>273</v>
      </c>
      <c r="B127" s="100">
        <v>702</v>
      </c>
      <c r="C127" s="109" t="s">
        <v>215</v>
      </c>
      <c r="D127" s="109" t="s">
        <v>207</v>
      </c>
      <c r="E127" s="127">
        <v>7130000000</v>
      </c>
      <c r="F127" s="127">
        <v>500</v>
      </c>
      <c r="G127" s="110">
        <f>'Приложение 4'!F126</f>
        <v>6802367.4000000004</v>
      </c>
      <c r="H127" s="110">
        <f>'Приложение 4'!G126</f>
        <v>0</v>
      </c>
      <c r="I127" s="110">
        <f>'Приложение 4'!H126</f>
        <v>0</v>
      </c>
    </row>
    <row r="128" spans="1:9" s="141" customFormat="1" x14ac:dyDescent="0.25">
      <c r="A128" s="79" t="s">
        <v>247</v>
      </c>
      <c r="B128" s="103">
        <v>701</v>
      </c>
      <c r="C128" s="107" t="s">
        <v>248</v>
      </c>
      <c r="D128" s="107"/>
      <c r="E128" s="103"/>
      <c r="F128" s="103"/>
      <c r="G128" s="108">
        <f>G129+G140+G162+G179+G188</f>
        <v>1477543505.9299998</v>
      </c>
      <c r="H128" s="108">
        <f>H129+H140+H162+H179+H188</f>
        <v>1210252258.7800002</v>
      </c>
      <c r="I128" s="108">
        <f>I129+I140+I162+I179+I188</f>
        <v>1210623970.7800002</v>
      </c>
    </row>
    <row r="129" spans="1:10" s="141" customFormat="1" x14ac:dyDescent="0.25">
      <c r="A129" s="79" t="s">
        <v>249</v>
      </c>
      <c r="B129" s="103">
        <v>701</v>
      </c>
      <c r="C129" s="107" t="s">
        <v>248</v>
      </c>
      <c r="D129" s="107" t="s">
        <v>197</v>
      </c>
      <c r="E129" s="103"/>
      <c r="F129" s="103"/>
      <c r="G129" s="108">
        <f>G130+G136</f>
        <v>385358731.43999994</v>
      </c>
      <c r="H129" s="108">
        <f>H130+H136</f>
        <v>385758267.55000001</v>
      </c>
      <c r="I129" s="108">
        <f>I130+I136</f>
        <v>385471979.55000001</v>
      </c>
    </row>
    <row r="130" spans="1:10" s="140" customFormat="1" x14ac:dyDescent="0.25">
      <c r="A130" s="79" t="s">
        <v>168</v>
      </c>
      <c r="B130" s="103">
        <v>701</v>
      </c>
      <c r="C130" s="107" t="s">
        <v>248</v>
      </c>
      <c r="D130" s="107" t="s">
        <v>197</v>
      </c>
      <c r="E130" s="142" t="s">
        <v>475</v>
      </c>
      <c r="F130" s="103"/>
      <c r="G130" s="108">
        <f>G131</f>
        <v>341701672.95999998</v>
      </c>
      <c r="H130" s="108">
        <f>H131</f>
        <v>378147788.55000001</v>
      </c>
      <c r="I130" s="108">
        <f>I131</f>
        <v>378147788.55000001</v>
      </c>
      <c r="J130" s="141"/>
    </row>
    <row r="131" spans="1:10" s="140" customFormat="1" x14ac:dyDescent="0.25">
      <c r="A131" s="149" t="s">
        <v>474</v>
      </c>
      <c r="B131" s="103">
        <v>701</v>
      </c>
      <c r="C131" s="109" t="s">
        <v>248</v>
      </c>
      <c r="D131" s="109" t="s">
        <v>197</v>
      </c>
      <c r="E131" s="143" t="s">
        <v>476</v>
      </c>
      <c r="F131" s="100"/>
      <c r="G131" s="110">
        <f>SUM(G132:G135)</f>
        <v>341701672.95999998</v>
      </c>
      <c r="H131" s="110">
        <f>SUM(H132:H135)</f>
        <v>378147788.55000001</v>
      </c>
      <c r="I131" s="110">
        <f>SUM(I132:I135)</f>
        <v>378147788.55000001</v>
      </c>
      <c r="J131" s="141"/>
    </row>
    <row r="132" spans="1:10" s="140" customFormat="1" ht="75.75" x14ac:dyDescent="0.25">
      <c r="A132" s="70" t="s">
        <v>169</v>
      </c>
      <c r="B132" s="103">
        <v>701</v>
      </c>
      <c r="C132" s="109" t="s">
        <v>248</v>
      </c>
      <c r="D132" s="109" t="s">
        <v>197</v>
      </c>
      <c r="E132" s="143" t="s">
        <v>476</v>
      </c>
      <c r="F132" s="100">
        <v>100</v>
      </c>
      <c r="G132" s="110">
        <f>'Приложение 4'!F131</f>
        <v>169426863.25</v>
      </c>
      <c r="H132" s="110">
        <f>'Приложение 4'!G131</f>
        <v>175982975</v>
      </c>
      <c r="I132" s="110">
        <f>'Приложение 4'!H131</f>
        <v>175982975</v>
      </c>
      <c r="J132" s="141"/>
    </row>
    <row r="133" spans="1:10" s="140" customFormat="1" ht="30.75" x14ac:dyDescent="0.25">
      <c r="A133" s="72" t="s">
        <v>170</v>
      </c>
      <c r="B133" s="103">
        <v>701</v>
      </c>
      <c r="C133" s="109" t="s">
        <v>248</v>
      </c>
      <c r="D133" s="109" t="s">
        <v>197</v>
      </c>
      <c r="E133" s="143" t="s">
        <v>476</v>
      </c>
      <c r="F133" s="100">
        <v>200</v>
      </c>
      <c r="G133" s="110">
        <f>'Приложение 4'!F132</f>
        <v>168161033.25999999</v>
      </c>
      <c r="H133" s="110">
        <f>'Приложение 4'!G132</f>
        <v>198005948.69999999</v>
      </c>
      <c r="I133" s="110">
        <f>'Приложение 4'!H132</f>
        <v>198005948.69999999</v>
      </c>
      <c r="J133" s="141"/>
    </row>
    <row r="134" spans="1:10" s="140" customFormat="1" x14ac:dyDescent="0.25">
      <c r="A134" s="70" t="s">
        <v>171</v>
      </c>
      <c r="B134" s="103">
        <v>701</v>
      </c>
      <c r="C134" s="109" t="s">
        <v>248</v>
      </c>
      <c r="D134" s="109" t="s">
        <v>197</v>
      </c>
      <c r="E134" s="143" t="s">
        <v>476</v>
      </c>
      <c r="F134" s="100">
        <v>300</v>
      </c>
      <c r="G134" s="110">
        <f>'Приложение 4'!F133</f>
        <v>523360.75</v>
      </c>
      <c r="H134" s="110">
        <f>'Приложение 4'!G133</f>
        <v>0</v>
      </c>
      <c r="I134" s="110">
        <f>'Приложение 4'!H133</f>
        <v>0</v>
      </c>
      <c r="J134" s="141"/>
    </row>
    <row r="135" spans="1:10" s="140" customFormat="1" x14ac:dyDescent="0.25">
      <c r="A135" s="70" t="s">
        <v>172</v>
      </c>
      <c r="B135" s="103">
        <v>701</v>
      </c>
      <c r="C135" s="109" t="s">
        <v>248</v>
      </c>
      <c r="D135" s="109" t="s">
        <v>197</v>
      </c>
      <c r="E135" s="143" t="s">
        <v>476</v>
      </c>
      <c r="F135" s="100">
        <v>800</v>
      </c>
      <c r="G135" s="110">
        <f>'Приложение 4'!F134</f>
        <v>3590415.7</v>
      </c>
      <c r="H135" s="110">
        <f>'Приложение 4'!G134</f>
        <v>4158864.8499999996</v>
      </c>
      <c r="I135" s="110">
        <f>'Приложение 4'!H134</f>
        <v>4158864.8499999996</v>
      </c>
      <c r="J135" s="141"/>
    </row>
    <row r="136" spans="1:10" s="140" customFormat="1" x14ac:dyDescent="0.25">
      <c r="A136" s="82" t="s">
        <v>200</v>
      </c>
      <c r="B136" s="103">
        <v>701</v>
      </c>
      <c r="C136" s="107" t="s">
        <v>248</v>
      </c>
      <c r="D136" s="107" t="s">
        <v>197</v>
      </c>
      <c r="E136" s="115" t="s">
        <v>201</v>
      </c>
      <c r="F136" s="103"/>
      <c r="G136" s="108">
        <f>G137</f>
        <v>43657058.479999989</v>
      </c>
      <c r="H136" s="108">
        <f>H137</f>
        <v>7610479</v>
      </c>
      <c r="I136" s="108">
        <f>I137</f>
        <v>7324191</v>
      </c>
      <c r="J136" s="141"/>
    </row>
    <row r="137" spans="1:10" s="140" customFormat="1" x14ac:dyDescent="0.25">
      <c r="A137" s="72" t="s">
        <v>220</v>
      </c>
      <c r="B137" s="100">
        <v>701</v>
      </c>
      <c r="C137" s="109" t="s">
        <v>248</v>
      </c>
      <c r="D137" s="109" t="s">
        <v>197</v>
      </c>
      <c r="E137" s="114" t="s">
        <v>221</v>
      </c>
      <c r="F137" s="100"/>
      <c r="G137" s="110">
        <f>G139+G138</f>
        <v>43657058.479999989</v>
      </c>
      <c r="H137" s="110">
        <f>H139+H138</f>
        <v>7610479</v>
      </c>
      <c r="I137" s="110">
        <f>I139+I138</f>
        <v>7324191</v>
      </c>
    </row>
    <row r="138" spans="1:10" s="140" customFormat="1" ht="30.75" x14ac:dyDescent="0.25">
      <c r="A138" s="72" t="s">
        <v>170</v>
      </c>
      <c r="B138" s="100">
        <v>701</v>
      </c>
      <c r="C138" s="109" t="s">
        <v>248</v>
      </c>
      <c r="D138" s="109" t="s">
        <v>197</v>
      </c>
      <c r="E138" s="114" t="s">
        <v>221</v>
      </c>
      <c r="F138" s="100">
        <v>200</v>
      </c>
      <c r="G138" s="110">
        <f>'Приложение 4'!F137</f>
        <v>35760292.479999989</v>
      </c>
      <c r="H138" s="110">
        <f>'Приложение 4'!G137</f>
        <v>0</v>
      </c>
      <c r="I138" s="110">
        <f>'Приложение 4'!H137</f>
        <v>0</v>
      </c>
    </row>
    <row r="139" spans="1:10" s="140" customFormat="1" x14ac:dyDescent="0.25">
      <c r="A139" s="70" t="s">
        <v>172</v>
      </c>
      <c r="B139" s="100">
        <v>701</v>
      </c>
      <c r="C139" s="109" t="s">
        <v>248</v>
      </c>
      <c r="D139" s="109" t="s">
        <v>197</v>
      </c>
      <c r="E139" s="114" t="s">
        <v>221</v>
      </c>
      <c r="F139" s="100">
        <v>800</v>
      </c>
      <c r="G139" s="110">
        <f>'Приложение 4'!F138</f>
        <v>7896766</v>
      </c>
      <c r="H139" s="110">
        <f>'Приложение 4'!G138</f>
        <v>7610479</v>
      </c>
      <c r="I139" s="110">
        <f>'Приложение 4'!H138</f>
        <v>7324191</v>
      </c>
    </row>
    <row r="140" spans="1:10" s="141" customFormat="1" x14ac:dyDescent="0.25">
      <c r="A140" s="79" t="s">
        <v>250</v>
      </c>
      <c r="B140" s="103">
        <v>701</v>
      </c>
      <c r="C140" s="107" t="s">
        <v>248</v>
      </c>
      <c r="D140" s="107" t="s">
        <v>199</v>
      </c>
      <c r="E140" s="103"/>
      <c r="F140" s="103"/>
      <c r="G140" s="108">
        <f>G141+G155+G158</f>
        <v>510666922.61000001</v>
      </c>
      <c r="H140" s="108">
        <f>H141+H155+H158</f>
        <v>454528942.81</v>
      </c>
      <c r="I140" s="108">
        <f>I141+I155+I158</f>
        <v>454528942.81</v>
      </c>
    </row>
    <row r="141" spans="1:10" s="141" customFormat="1" x14ac:dyDescent="0.25">
      <c r="A141" s="79" t="s">
        <v>168</v>
      </c>
      <c r="B141" s="103">
        <v>701</v>
      </c>
      <c r="C141" s="107" t="s">
        <v>248</v>
      </c>
      <c r="D141" s="107" t="s">
        <v>199</v>
      </c>
      <c r="E141" s="142" t="s">
        <v>475</v>
      </c>
      <c r="F141" s="103"/>
      <c r="G141" s="108">
        <f>G149+G145+G142+G147</f>
        <v>451015126.23000002</v>
      </c>
      <c r="H141" s="108">
        <f t="shared" ref="H141:I141" si="15">H149+H145+H142+H147</f>
        <v>454528942.81</v>
      </c>
      <c r="I141" s="108">
        <f t="shared" si="15"/>
        <v>454528942.81</v>
      </c>
    </row>
    <row r="142" spans="1:10" s="141" customFormat="1" ht="30.75" x14ac:dyDescent="0.25">
      <c r="A142" s="70" t="s">
        <v>594</v>
      </c>
      <c r="B142" s="100">
        <v>701</v>
      </c>
      <c r="C142" s="109" t="s">
        <v>248</v>
      </c>
      <c r="D142" s="109" t="s">
        <v>199</v>
      </c>
      <c r="E142" s="143" t="s">
        <v>602</v>
      </c>
      <c r="F142" s="100"/>
      <c r="G142" s="110">
        <f>SUM(G143:G144)</f>
        <v>83933.37</v>
      </c>
      <c r="H142" s="110">
        <f>SUM(H143:H144)</f>
        <v>0</v>
      </c>
      <c r="I142" s="110">
        <f>SUM(I143:I144)</f>
        <v>0</v>
      </c>
    </row>
    <row r="143" spans="1:10" s="141" customFormat="1" ht="75.75" x14ac:dyDescent="0.25">
      <c r="A143" s="70" t="s">
        <v>169</v>
      </c>
      <c r="B143" s="100">
        <v>701</v>
      </c>
      <c r="C143" s="109" t="s">
        <v>248</v>
      </c>
      <c r="D143" s="109" t="s">
        <v>199</v>
      </c>
      <c r="E143" s="71" t="s">
        <v>602</v>
      </c>
      <c r="F143" s="84" t="s">
        <v>178</v>
      </c>
      <c r="G143" s="110">
        <f>'Приложение 4'!F142</f>
        <v>30775.58</v>
      </c>
      <c r="H143" s="110">
        <f>'Приложение 4'!G142</f>
        <v>0</v>
      </c>
      <c r="I143" s="110">
        <f>'Приложение 4'!H142</f>
        <v>0</v>
      </c>
    </row>
    <row r="144" spans="1:10" s="141" customFormat="1" ht="30.75" x14ac:dyDescent="0.25">
      <c r="A144" s="70" t="s">
        <v>173</v>
      </c>
      <c r="B144" s="100">
        <v>701</v>
      </c>
      <c r="C144" s="109" t="s">
        <v>248</v>
      </c>
      <c r="D144" s="109" t="s">
        <v>199</v>
      </c>
      <c r="E144" s="71" t="s">
        <v>602</v>
      </c>
      <c r="F144" s="84" t="s">
        <v>227</v>
      </c>
      <c r="G144" s="110">
        <f>'Приложение 4'!F143</f>
        <v>53157.79</v>
      </c>
      <c r="H144" s="110">
        <f>'Приложение 4'!G143</f>
        <v>0</v>
      </c>
      <c r="I144" s="110">
        <f>'Приложение 4'!H143</f>
        <v>0</v>
      </c>
    </row>
    <row r="145" spans="1:10" s="141" customFormat="1" x14ac:dyDescent="0.25">
      <c r="A145" s="70" t="s">
        <v>579</v>
      </c>
      <c r="B145" s="100">
        <v>701</v>
      </c>
      <c r="C145" s="109" t="s">
        <v>248</v>
      </c>
      <c r="D145" s="109" t="s">
        <v>199</v>
      </c>
      <c r="E145" s="143" t="s">
        <v>577</v>
      </c>
      <c r="F145" s="100"/>
      <c r="G145" s="110">
        <f>G146</f>
        <v>1193369.77</v>
      </c>
      <c r="H145" s="110">
        <f>H146</f>
        <v>0</v>
      </c>
      <c r="I145" s="110">
        <f>I146</f>
        <v>0</v>
      </c>
    </row>
    <row r="146" spans="1:10" s="141" customFormat="1" ht="30.75" x14ac:dyDescent="0.25">
      <c r="A146" s="70" t="s">
        <v>173</v>
      </c>
      <c r="B146" s="100">
        <v>701</v>
      </c>
      <c r="C146" s="109" t="s">
        <v>248</v>
      </c>
      <c r="D146" s="109" t="s">
        <v>199</v>
      </c>
      <c r="E146" s="143" t="s">
        <v>577</v>
      </c>
      <c r="F146" s="100">
        <v>600</v>
      </c>
      <c r="G146" s="110">
        <f>'Приложение 4'!F145</f>
        <v>1193369.77</v>
      </c>
      <c r="H146" s="110">
        <f>'Приложение 4'!G145</f>
        <v>0</v>
      </c>
      <c r="I146" s="110">
        <f>'Приложение 4'!H145</f>
        <v>0</v>
      </c>
    </row>
    <row r="147" spans="1:10" s="141" customFormat="1" x14ac:dyDescent="0.25">
      <c r="A147" s="70" t="s">
        <v>478</v>
      </c>
      <c r="B147" s="100">
        <v>701</v>
      </c>
      <c r="C147" s="109" t="s">
        <v>248</v>
      </c>
      <c r="D147" s="109" t="s">
        <v>199</v>
      </c>
      <c r="E147" s="143" t="s">
        <v>477</v>
      </c>
      <c r="F147" s="100"/>
      <c r="G147" s="110">
        <f>G148</f>
        <v>0</v>
      </c>
      <c r="H147" s="110">
        <f t="shared" ref="H147:I147" si="16">H148</f>
        <v>0</v>
      </c>
      <c r="I147" s="110">
        <f t="shared" si="16"/>
        <v>0</v>
      </c>
    </row>
    <row r="148" spans="1:10" s="141" customFormat="1" x14ac:dyDescent="0.25">
      <c r="A148" s="70" t="s">
        <v>171</v>
      </c>
      <c r="B148" s="100">
        <v>701</v>
      </c>
      <c r="C148" s="109" t="s">
        <v>248</v>
      </c>
      <c r="D148" s="109" t="s">
        <v>199</v>
      </c>
      <c r="E148" s="143" t="s">
        <v>477</v>
      </c>
      <c r="F148" s="100">
        <v>300</v>
      </c>
      <c r="G148" s="110">
        <f>'Приложение 4'!F147</f>
        <v>0</v>
      </c>
      <c r="H148" s="110">
        <f>'Приложение 4'!G147</f>
        <v>0</v>
      </c>
      <c r="I148" s="110">
        <f>'Приложение 4'!H147</f>
        <v>0</v>
      </c>
    </row>
    <row r="149" spans="1:10" s="140" customFormat="1" x14ac:dyDescent="0.25">
      <c r="A149" s="149" t="s">
        <v>474</v>
      </c>
      <c r="B149" s="100">
        <v>701</v>
      </c>
      <c r="C149" s="109" t="s">
        <v>248</v>
      </c>
      <c r="D149" s="109" t="s">
        <v>199</v>
      </c>
      <c r="E149" s="143" t="s">
        <v>476</v>
      </c>
      <c r="F149" s="100"/>
      <c r="G149" s="110">
        <f>SUM(G150:G154)</f>
        <v>449737823.09000003</v>
      </c>
      <c r="H149" s="110">
        <f>SUM(H150:H154)</f>
        <v>454528942.81</v>
      </c>
      <c r="I149" s="110">
        <f>SUM(I150:I154)</f>
        <v>454528942.81</v>
      </c>
      <c r="J149" s="141"/>
    </row>
    <row r="150" spans="1:10" s="140" customFormat="1" ht="75.75" x14ac:dyDescent="0.25">
      <c r="A150" s="72" t="s">
        <v>169</v>
      </c>
      <c r="B150" s="100">
        <v>701</v>
      </c>
      <c r="C150" s="109" t="s">
        <v>248</v>
      </c>
      <c r="D150" s="109" t="s">
        <v>199</v>
      </c>
      <c r="E150" s="143" t="s">
        <v>476</v>
      </c>
      <c r="F150" s="100">
        <v>100</v>
      </c>
      <c r="G150" s="110">
        <f>'Приложение 4'!F149</f>
        <v>91924661.979999989</v>
      </c>
      <c r="H150" s="110">
        <f>'Приложение 4'!G149</f>
        <v>93253842.599999994</v>
      </c>
      <c r="I150" s="110">
        <f>'Приложение 4'!H149</f>
        <v>93253842.599999994</v>
      </c>
    </row>
    <row r="151" spans="1:10" s="140" customFormat="1" ht="30.75" x14ac:dyDescent="0.25">
      <c r="A151" s="72" t="s">
        <v>170</v>
      </c>
      <c r="B151" s="100">
        <v>701</v>
      </c>
      <c r="C151" s="109" t="s">
        <v>248</v>
      </c>
      <c r="D151" s="109" t="s">
        <v>199</v>
      </c>
      <c r="E151" s="143" t="s">
        <v>476</v>
      </c>
      <c r="F151" s="100">
        <v>200</v>
      </c>
      <c r="G151" s="110">
        <f>'Приложение 4'!F150</f>
        <v>71658614.49000001</v>
      </c>
      <c r="H151" s="110">
        <f>'Приложение 4'!G150</f>
        <v>70451380.690000013</v>
      </c>
      <c r="I151" s="110">
        <f>'Приложение 4'!H150</f>
        <v>70451380.690000013</v>
      </c>
    </row>
    <row r="152" spans="1:10" s="140" customFormat="1" x14ac:dyDescent="0.25">
      <c r="A152" s="70" t="s">
        <v>171</v>
      </c>
      <c r="B152" s="100">
        <v>701</v>
      </c>
      <c r="C152" s="109" t="s">
        <v>248</v>
      </c>
      <c r="D152" s="109" t="s">
        <v>199</v>
      </c>
      <c r="E152" s="143" t="s">
        <v>476</v>
      </c>
      <c r="F152" s="100">
        <v>300</v>
      </c>
      <c r="G152" s="110">
        <f>'Приложение 4'!F151</f>
        <v>94119.58</v>
      </c>
      <c r="H152" s="110">
        <f>'Приложение 4'!G151</f>
        <v>0</v>
      </c>
      <c r="I152" s="110">
        <f>'Приложение 4'!H151</f>
        <v>0</v>
      </c>
    </row>
    <row r="153" spans="1:10" s="140" customFormat="1" ht="30.75" x14ac:dyDescent="0.25">
      <c r="A153" s="70" t="s">
        <v>173</v>
      </c>
      <c r="B153" s="100">
        <v>701</v>
      </c>
      <c r="C153" s="109" t="s">
        <v>248</v>
      </c>
      <c r="D153" s="109" t="s">
        <v>199</v>
      </c>
      <c r="E153" s="143" t="s">
        <v>476</v>
      </c>
      <c r="F153" s="100">
        <v>600</v>
      </c>
      <c r="G153" s="110">
        <f>'Приложение 4'!F152</f>
        <v>278425227.48000002</v>
      </c>
      <c r="H153" s="110">
        <f>'Приложение 4'!G152</f>
        <v>285393540.51999998</v>
      </c>
      <c r="I153" s="110">
        <f>'Приложение 4'!H152</f>
        <v>285393540.51999998</v>
      </c>
    </row>
    <row r="154" spans="1:10" s="140" customFormat="1" x14ac:dyDescent="0.25">
      <c r="A154" s="70" t="s">
        <v>172</v>
      </c>
      <c r="B154" s="100">
        <v>701</v>
      </c>
      <c r="C154" s="109" t="s">
        <v>248</v>
      </c>
      <c r="D154" s="109" t="s">
        <v>199</v>
      </c>
      <c r="E154" s="143" t="s">
        <v>476</v>
      </c>
      <c r="F154" s="100">
        <v>800</v>
      </c>
      <c r="G154" s="110">
        <f>'Приложение 4'!F153</f>
        <v>7635199.5599999996</v>
      </c>
      <c r="H154" s="110">
        <f>'Приложение 4'!G153</f>
        <v>5430179</v>
      </c>
      <c r="I154" s="110">
        <f>'Приложение 4'!H153</f>
        <v>5430179</v>
      </c>
    </row>
    <row r="155" spans="1:10" s="141" customFormat="1" ht="31.5" x14ac:dyDescent="0.25">
      <c r="A155" s="79" t="s">
        <v>186</v>
      </c>
      <c r="B155" s="103">
        <v>701</v>
      </c>
      <c r="C155" s="109" t="s">
        <v>248</v>
      </c>
      <c r="D155" s="109" t="s">
        <v>199</v>
      </c>
      <c r="E155" s="142" t="s">
        <v>489</v>
      </c>
      <c r="F155" s="103"/>
      <c r="G155" s="108">
        <f t="shared" ref="G155:I156" si="17">G156</f>
        <v>37071452.280000001</v>
      </c>
      <c r="H155" s="108">
        <f t="shared" si="17"/>
        <v>0</v>
      </c>
      <c r="I155" s="108">
        <f t="shared" si="17"/>
        <v>0</v>
      </c>
    </row>
    <row r="156" spans="1:10" s="140" customFormat="1" x14ac:dyDescent="0.25">
      <c r="A156" s="70" t="s">
        <v>478</v>
      </c>
      <c r="B156" s="100">
        <v>701</v>
      </c>
      <c r="C156" s="109" t="s">
        <v>248</v>
      </c>
      <c r="D156" s="109" t="s">
        <v>199</v>
      </c>
      <c r="E156" s="143" t="s">
        <v>490</v>
      </c>
      <c r="F156" s="100"/>
      <c r="G156" s="110">
        <f t="shared" si="17"/>
        <v>37071452.280000001</v>
      </c>
      <c r="H156" s="110">
        <f t="shared" si="17"/>
        <v>0</v>
      </c>
      <c r="I156" s="110">
        <f t="shared" si="17"/>
        <v>0</v>
      </c>
    </row>
    <row r="157" spans="1:10" s="140" customFormat="1" ht="30.75" x14ac:dyDescent="0.25">
      <c r="A157" s="70" t="s">
        <v>187</v>
      </c>
      <c r="B157" s="100">
        <v>701</v>
      </c>
      <c r="C157" s="109" t="s">
        <v>248</v>
      </c>
      <c r="D157" s="109" t="s">
        <v>199</v>
      </c>
      <c r="E157" s="143" t="s">
        <v>490</v>
      </c>
      <c r="F157" s="100">
        <v>400</v>
      </c>
      <c r="G157" s="110">
        <f>'Приложение 4'!F156</f>
        <v>37071452.280000001</v>
      </c>
      <c r="H157" s="110">
        <f>'Приложение 4'!G156</f>
        <v>0</v>
      </c>
      <c r="I157" s="110">
        <f>'Приложение 4'!H156</f>
        <v>0</v>
      </c>
    </row>
    <row r="158" spans="1:10" s="140" customFormat="1" x14ac:dyDescent="0.25">
      <c r="A158" s="82" t="s">
        <v>200</v>
      </c>
      <c r="B158" s="100">
        <v>701</v>
      </c>
      <c r="C158" s="107" t="s">
        <v>248</v>
      </c>
      <c r="D158" s="107" t="s">
        <v>199</v>
      </c>
      <c r="E158" s="115" t="s">
        <v>201</v>
      </c>
      <c r="F158" s="100"/>
      <c r="G158" s="108">
        <f>G159</f>
        <v>22580344.100000001</v>
      </c>
      <c r="H158" s="108">
        <f>H159</f>
        <v>0</v>
      </c>
      <c r="I158" s="108">
        <f>I159</f>
        <v>0</v>
      </c>
    </row>
    <row r="159" spans="1:10" s="140" customFormat="1" x14ac:dyDescent="0.25">
      <c r="A159" s="72" t="s">
        <v>220</v>
      </c>
      <c r="B159" s="100">
        <v>701</v>
      </c>
      <c r="C159" s="109" t="s">
        <v>248</v>
      </c>
      <c r="D159" s="109" t="s">
        <v>199</v>
      </c>
      <c r="E159" s="114" t="s">
        <v>221</v>
      </c>
      <c r="F159" s="100"/>
      <c r="G159" s="110">
        <f>G160+G161</f>
        <v>22580344.100000001</v>
      </c>
      <c r="H159" s="110">
        <f>H160+H161</f>
        <v>0</v>
      </c>
      <c r="I159" s="110">
        <f>I160+I161</f>
        <v>0</v>
      </c>
    </row>
    <row r="160" spans="1:10" s="140" customFormat="1" ht="30.75" x14ac:dyDescent="0.25">
      <c r="A160" s="72" t="s">
        <v>170</v>
      </c>
      <c r="B160" s="100">
        <v>701</v>
      </c>
      <c r="C160" s="109" t="s">
        <v>248</v>
      </c>
      <c r="D160" s="109" t="s">
        <v>199</v>
      </c>
      <c r="E160" s="114" t="s">
        <v>221</v>
      </c>
      <c r="F160" s="100">
        <v>200</v>
      </c>
      <c r="G160" s="110">
        <f>'Приложение 4'!F159</f>
        <v>4708304.6899999995</v>
      </c>
      <c r="H160" s="110">
        <f>'Приложение 4'!G159</f>
        <v>0</v>
      </c>
      <c r="I160" s="110">
        <f>'Приложение 4'!H159</f>
        <v>0</v>
      </c>
    </row>
    <row r="161" spans="1:9" s="140" customFormat="1" ht="30.75" x14ac:dyDescent="0.25">
      <c r="A161" s="70" t="s">
        <v>173</v>
      </c>
      <c r="B161" s="100">
        <v>701</v>
      </c>
      <c r="C161" s="109" t="s">
        <v>248</v>
      </c>
      <c r="D161" s="109" t="s">
        <v>199</v>
      </c>
      <c r="E161" s="114" t="s">
        <v>221</v>
      </c>
      <c r="F161" s="100">
        <v>600</v>
      </c>
      <c r="G161" s="110">
        <f>'Приложение 4'!F160</f>
        <v>17872039.41</v>
      </c>
      <c r="H161" s="110">
        <f>'Приложение 4'!G160</f>
        <v>0</v>
      </c>
      <c r="I161" s="110">
        <f>'Приложение 4'!H160</f>
        <v>0</v>
      </c>
    </row>
    <row r="162" spans="1:9" s="141" customFormat="1" x14ac:dyDescent="0.25">
      <c r="A162" s="79" t="s">
        <v>251</v>
      </c>
      <c r="B162" s="103">
        <v>701</v>
      </c>
      <c r="C162" s="107" t="s">
        <v>248</v>
      </c>
      <c r="D162" s="107" t="s">
        <v>207</v>
      </c>
      <c r="E162" s="142"/>
      <c r="F162" s="103"/>
      <c r="G162" s="108">
        <f>G163+G168+G172+G176</f>
        <v>401557390.60999995</v>
      </c>
      <c r="H162" s="108">
        <f t="shared" ref="H162:I162" si="18">H163+H168+H172+H176</f>
        <v>200853294.21000001</v>
      </c>
      <c r="I162" s="108">
        <f t="shared" si="18"/>
        <v>200853294.21000001</v>
      </c>
    </row>
    <row r="163" spans="1:9" s="141" customFormat="1" x14ac:dyDescent="0.25">
      <c r="A163" s="79" t="s">
        <v>174</v>
      </c>
      <c r="B163" s="103">
        <v>701</v>
      </c>
      <c r="C163" s="107" t="s">
        <v>248</v>
      </c>
      <c r="D163" s="107" t="s">
        <v>207</v>
      </c>
      <c r="E163" s="142" t="s">
        <v>505</v>
      </c>
      <c r="F163" s="103"/>
      <c r="G163" s="108">
        <f>G164</f>
        <v>106014473.33</v>
      </c>
      <c r="H163" s="108">
        <f>H164</f>
        <v>106032800</v>
      </c>
      <c r="I163" s="108">
        <f>I164</f>
        <v>106032800</v>
      </c>
    </row>
    <row r="164" spans="1:9" s="140" customFormat="1" x14ac:dyDescent="0.25">
      <c r="A164" s="70" t="s">
        <v>497</v>
      </c>
      <c r="B164" s="100">
        <v>701</v>
      </c>
      <c r="C164" s="109" t="s">
        <v>248</v>
      </c>
      <c r="D164" s="109" t="s">
        <v>207</v>
      </c>
      <c r="E164" s="143" t="s">
        <v>506</v>
      </c>
      <c r="F164" s="100"/>
      <c r="G164" s="110">
        <f>SUM(G165:G167)</f>
        <v>106014473.33</v>
      </c>
      <c r="H164" s="110">
        <f>SUM(H165:H167)</f>
        <v>106032800</v>
      </c>
      <c r="I164" s="110">
        <f>SUM(I165:I167)</f>
        <v>106032800</v>
      </c>
    </row>
    <row r="165" spans="1:9" s="141" customFormat="1" ht="75.75" x14ac:dyDescent="0.25">
      <c r="A165" s="72" t="s">
        <v>169</v>
      </c>
      <c r="B165" s="103">
        <v>701</v>
      </c>
      <c r="C165" s="109" t="s">
        <v>248</v>
      </c>
      <c r="D165" s="109" t="s">
        <v>207</v>
      </c>
      <c r="E165" s="143" t="s">
        <v>506</v>
      </c>
      <c r="F165" s="100">
        <v>100</v>
      </c>
      <c r="G165" s="110">
        <f>'Приложение 4'!F164</f>
        <v>98384320</v>
      </c>
      <c r="H165" s="110">
        <f>'Приложение 4'!G164</f>
        <v>99536600</v>
      </c>
      <c r="I165" s="110">
        <f>'Приложение 4'!H164</f>
        <v>99536600</v>
      </c>
    </row>
    <row r="166" spans="1:9" s="140" customFormat="1" ht="30.75" x14ac:dyDescent="0.25">
      <c r="A166" s="72" t="s">
        <v>170</v>
      </c>
      <c r="B166" s="103">
        <v>701</v>
      </c>
      <c r="C166" s="109" t="s">
        <v>248</v>
      </c>
      <c r="D166" s="109" t="s">
        <v>207</v>
      </c>
      <c r="E166" s="143" t="s">
        <v>506</v>
      </c>
      <c r="F166" s="100">
        <v>200</v>
      </c>
      <c r="G166" s="110">
        <f>'Приложение 4'!F165</f>
        <v>7509353.3300000001</v>
      </c>
      <c r="H166" s="110">
        <f>'Приложение 4'!G165</f>
        <v>6375400</v>
      </c>
      <c r="I166" s="110">
        <f>'Приложение 4'!H165</f>
        <v>6375400</v>
      </c>
    </row>
    <row r="167" spans="1:9" s="141" customFormat="1" x14ac:dyDescent="0.25">
      <c r="A167" s="70" t="s">
        <v>172</v>
      </c>
      <c r="B167" s="103">
        <v>701</v>
      </c>
      <c r="C167" s="109" t="s">
        <v>248</v>
      </c>
      <c r="D167" s="109" t="s">
        <v>207</v>
      </c>
      <c r="E167" s="143" t="s">
        <v>506</v>
      </c>
      <c r="F167" s="100">
        <v>800</v>
      </c>
      <c r="G167" s="110">
        <f>'Приложение 4'!F166</f>
        <v>120800</v>
      </c>
      <c r="H167" s="110">
        <f>'Приложение 4'!G166</f>
        <v>120800</v>
      </c>
      <c r="I167" s="110">
        <f>'Приложение 4'!H166</f>
        <v>120800</v>
      </c>
    </row>
    <row r="168" spans="1:9" s="141" customFormat="1" x14ac:dyDescent="0.25">
      <c r="A168" s="79" t="s">
        <v>168</v>
      </c>
      <c r="B168" s="103">
        <v>701</v>
      </c>
      <c r="C168" s="107" t="s">
        <v>248</v>
      </c>
      <c r="D168" s="107" t="s">
        <v>207</v>
      </c>
      <c r="E168" s="142" t="s">
        <v>475</v>
      </c>
      <c r="F168" s="103"/>
      <c r="G168" s="108">
        <f>G169</f>
        <v>96209469.819999993</v>
      </c>
      <c r="H168" s="108">
        <f>H169</f>
        <v>94820494.210000008</v>
      </c>
      <c r="I168" s="108">
        <f>I169</f>
        <v>94820494.210000008</v>
      </c>
    </row>
    <row r="169" spans="1:9" s="140" customFormat="1" x14ac:dyDescent="0.25">
      <c r="A169" s="149" t="s">
        <v>474</v>
      </c>
      <c r="B169" s="100">
        <v>701</v>
      </c>
      <c r="C169" s="109" t="s">
        <v>248</v>
      </c>
      <c r="D169" s="109" t="s">
        <v>207</v>
      </c>
      <c r="E169" s="143" t="s">
        <v>476</v>
      </c>
      <c r="F169" s="100"/>
      <c r="G169" s="110">
        <f>SUM(G170:G171)</f>
        <v>96209469.819999993</v>
      </c>
      <c r="H169" s="110">
        <f>SUM(H170:H171)</f>
        <v>94820494.210000008</v>
      </c>
      <c r="I169" s="110">
        <f>SUM(I170:I171)</f>
        <v>94820494.210000008</v>
      </c>
    </row>
    <row r="170" spans="1:9" s="2" customFormat="1" ht="75" x14ac:dyDescent="0.2">
      <c r="A170" s="72" t="s">
        <v>169</v>
      </c>
      <c r="B170" s="100">
        <v>701</v>
      </c>
      <c r="C170" s="109" t="s">
        <v>248</v>
      </c>
      <c r="D170" s="109" t="s">
        <v>207</v>
      </c>
      <c r="E170" s="143" t="s">
        <v>476</v>
      </c>
      <c r="F170" s="100">
        <v>100</v>
      </c>
      <c r="G170" s="110">
        <f>'Приложение 4'!F169</f>
        <v>85432368.499999985</v>
      </c>
      <c r="H170" s="110">
        <f>'Приложение 4'!G169</f>
        <v>82773081.460000008</v>
      </c>
      <c r="I170" s="110">
        <f>'Приложение 4'!H169</f>
        <v>82773081.460000008</v>
      </c>
    </row>
    <row r="171" spans="1:9" s="2" customFormat="1" ht="30" x14ac:dyDescent="0.2">
      <c r="A171" s="72" t="s">
        <v>170</v>
      </c>
      <c r="B171" s="100">
        <v>701</v>
      </c>
      <c r="C171" s="109" t="s">
        <v>248</v>
      </c>
      <c r="D171" s="109" t="s">
        <v>207</v>
      </c>
      <c r="E171" s="143" t="s">
        <v>476</v>
      </c>
      <c r="F171" s="100">
        <v>200</v>
      </c>
      <c r="G171" s="110">
        <f>'Приложение 4'!F170</f>
        <v>10777101.32</v>
      </c>
      <c r="H171" s="110">
        <f>'Приложение 4'!G170</f>
        <v>12047412.75</v>
      </c>
      <c r="I171" s="110">
        <f>'Приложение 4'!H170</f>
        <v>12047412.75</v>
      </c>
    </row>
    <row r="172" spans="1:9" s="148" customFormat="1" ht="31.5" x14ac:dyDescent="0.25">
      <c r="A172" s="79" t="s">
        <v>186</v>
      </c>
      <c r="B172" s="103">
        <v>701</v>
      </c>
      <c r="C172" s="107" t="s">
        <v>248</v>
      </c>
      <c r="D172" s="107" t="s">
        <v>207</v>
      </c>
      <c r="E172" s="142" t="s">
        <v>489</v>
      </c>
      <c r="F172" s="103"/>
      <c r="G172" s="108">
        <f>G173</f>
        <v>198963447.45999998</v>
      </c>
      <c r="H172" s="108">
        <f>H173</f>
        <v>0</v>
      </c>
      <c r="I172" s="108">
        <f>I173</f>
        <v>0</v>
      </c>
    </row>
    <row r="173" spans="1:9" s="148" customFormat="1" x14ac:dyDescent="0.25">
      <c r="A173" s="70" t="s">
        <v>478</v>
      </c>
      <c r="B173" s="103">
        <v>701</v>
      </c>
      <c r="C173" s="109" t="s">
        <v>248</v>
      </c>
      <c r="D173" s="109" t="s">
        <v>207</v>
      </c>
      <c r="E173" s="143" t="s">
        <v>490</v>
      </c>
      <c r="F173" s="100"/>
      <c r="G173" s="110">
        <f>SUM(G174:G175)</f>
        <v>198963447.45999998</v>
      </c>
      <c r="H173" s="110">
        <f>SUM(H174:H175)</f>
        <v>0</v>
      </c>
      <c r="I173" s="110">
        <f>SUM(I174:I175)</f>
        <v>0</v>
      </c>
    </row>
    <row r="174" spans="1:9" s="148" customFormat="1" ht="30.75" x14ac:dyDescent="0.25">
      <c r="A174" s="72" t="s">
        <v>170</v>
      </c>
      <c r="B174" s="103">
        <v>701</v>
      </c>
      <c r="C174" s="109" t="s">
        <v>248</v>
      </c>
      <c r="D174" s="109" t="s">
        <v>207</v>
      </c>
      <c r="E174" s="143" t="s">
        <v>490</v>
      </c>
      <c r="F174" s="100">
        <v>200</v>
      </c>
      <c r="G174" s="110">
        <f>'Приложение 4'!F173</f>
        <v>346000</v>
      </c>
      <c r="H174" s="110">
        <f>'Приложение 4'!G173</f>
        <v>0</v>
      </c>
      <c r="I174" s="110">
        <f>'Приложение 4'!H173</f>
        <v>0</v>
      </c>
    </row>
    <row r="175" spans="1:9" s="148" customFormat="1" ht="30.75" x14ac:dyDescent="0.25">
      <c r="A175" s="70" t="s">
        <v>187</v>
      </c>
      <c r="B175" s="103">
        <v>701</v>
      </c>
      <c r="C175" s="109" t="s">
        <v>248</v>
      </c>
      <c r="D175" s="109" t="s">
        <v>207</v>
      </c>
      <c r="E175" s="143" t="s">
        <v>490</v>
      </c>
      <c r="F175" s="100">
        <v>400</v>
      </c>
      <c r="G175" s="110">
        <f>'Приложение 4'!F174</f>
        <v>198617447.45999998</v>
      </c>
      <c r="H175" s="110">
        <f>'Приложение 4'!G174</f>
        <v>0</v>
      </c>
      <c r="I175" s="110">
        <f>'Приложение 4'!H174</f>
        <v>0</v>
      </c>
    </row>
    <row r="176" spans="1:9" s="148" customFormat="1" x14ac:dyDescent="0.25">
      <c r="A176" s="70" t="s">
        <v>200</v>
      </c>
      <c r="B176" s="103">
        <v>701</v>
      </c>
      <c r="C176" s="109" t="s">
        <v>248</v>
      </c>
      <c r="D176" s="109" t="s">
        <v>207</v>
      </c>
      <c r="E176" s="143" t="s">
        <v>201</v>
      </c>
      <c r="F176" s="100"/>
      <c r="G176" s="110">
        <f>G177</f>
        <v>370000</v>
      </c>
      <c r="H176" s="110">
        <f t="shared" ref="H176:I177" si="19">H177</f>
        <v>0</v>
      </c>
      <c r="I176" s="110">
        <f t="shared" si="19"/>
        <v>0</v>
      </c>
    </row>
    <row r="177" spans="1:9" s="148" customFormat="1" x14ac:dyDescent="0.25">
      <c r="A177" s="70" t="s">
        <v>220</v>
      </c>
      <c r="B177" s="103">
        <v>701</v>
      </c>
      <c r="C177" s="109" t="s">
        <v>248</v>
      </c>
      <c r="D177" s="109" t="s">
        <v>207</v>
      </c>
      <c r="E177" s="143" t="s">
        <v>221</v>
      </c>
      <c r="F177" s="100"/>
      <c r="G177" s="110">
        <f>G178</f>
        <v>370000</v>
      </c>
      <c r="H177" s="110">
        <f t="shared" si="19"/>
        <v>0</v>
      </c>
      <c r="I177" s="110">
        <f t="shared" si="19"/>
        <v>0</v>
      </c>
    </row>
    <row r="178" spans="1:9" s="148" customFormat="1" ht="30.75" x14ac:dyDescent="0.25">
      <c r="A178" s="70" t="s">
        <v>170</v>
      </c>
      <c r="B178" s="103">
        <v>701</v>
      </c>
      <c r="C178" s="109" t="s">
        <v>248</v>
      </c>
      <c r="D178" s="109" t="s">
        <v>207</v>
      </c>
      <c r="E178" s="143" t="s">
        <v>221</v>
      </c>
      <c r="F178" s="100">
        <v>200</v>
      </c>
      <c r="G178" s="110">
        <f>'Приложение 4'!F177</f>
        <v>370000</v>
      </c>
      <c r="H178" s="110">
        <f>'Приложение 4'!G177</f>
        <v>0</v>
      </c>
      <c r="I178" s="110">
        <f>'Приложение 4'!H177</f>
        <v>0</v>
      </c>
    </row>
    <row r="179" spans="1:9" s="141" customFormat="1" x14ac:dyDescent="0.25">
      <c r="A179" s="79" t="s">
        <v>464</v>
      </c>
      <c r="B179" s="103">
        <v>701</v>
      </c>
      <c r="C179" s="107" t="s">
        <v>248</v>
      </c>
      <c r="D179" s="107" t="s">
        <v>248</v>
      </c>
      <c r="E179" s="103"/>
      <c r="F179" s="103"/>
      <c r="G179" s="108">
        <f>G180</f>
        <v>33176777.190000001</v>
      </c>
      <c r="H179" s="108">
        <f>H180</f>
        <v>31600193.210000001</v>
      </c>
      <c r="I179" s="108">
        <f>I180</f>
        <v>32258193.210000001</v>
      </c>
    </row>
    <row r="180" spans="1:9" s="141" customFormat="1" ht="47.25" x14ac:dyDescent="0.25">
      <c r="A180" s="79" t="s">
        <v>493</v>
      </c>
      <c r="B180" s="103">
        <v>701</v>
      </c>
      <c r="C180" s="107" t="s">
        <v>248</v>
      </c>
      <c r="D180" s="107" t="s">
        <v>248</v>
      </c>
      <c r="E180" s="142" t="s">
        <v>494</v>
      </c>
      <c r="F180" s="103"/>
      <c r="G180" s="108">
        <f>G181+G185</f>
        <v>33176777.190000001</v>
      </c>
      <c r="H180" s="108">
        <f>H181+H185</f>
        <v>31600193.210000001</v>
      </c>
      <c r="I180" s="108">
        <f>I181+I185</f>
        <v>32258193.210000001</v>
      </c>
    </row>
    <row r="181" spans="1:9" s="141" customFormat="1" x14ac:dyDescent="0.25">
      <c r="A181" s="70" t="s">
        <v>478</v>
      </c>
      <c r="B181" s="103">
        <v>701</v>
      </c>
      <c r="C181" s="109" t="s">
        <v>248</v>
      </c>
      <c r="D181" s="109" t="s">
        <v>248</v>
      </c>
      <c r="E181" s="143" t="s">
        <v>495</v>
      </c>
      <c r="F181" s="100"/>
      <c r="G181" s="110">
        <f>SUM(G182:G184)</f>
        <v>15712847.960000001</v>
      </c>
      <c r="H181" s="110">
        <f>SUM(H182:H184)</f>
        <v>15058825.26</v>
      </c>
      <c r="I181" s="110">
        <f>SUM(I182:I184)</f>
        <v>15058825.26</v>
      </c>
    </row>
    <row r="182" spans="1:9" s="141" customFormat="1" ht="75.75" x14ac:dyDescent="0.25">
      <c r="A182" s="70" t="s">
        <v>169</v>
      </c>
      <c r="B182" s="103">
        <v>701</v>
      </c>
      <c r="C182" s="109" t="s">
        <v>248</v>
      </c>
      <c r="D182" s="109" t="s">
        <v>248</v>
      </c>
      <c r="E182" s="143" t="s">
        <v>495</v>
      </c>
      <c r="F182" s="100">
        <v>100</v>
      </c>
      <c r="G182" s="110">
        <f>'Приложение 4'!F181</f>
        <v>1018451.9</v>
      </c>
      <c r="H182" s="110">
        <f>'Приложение 4'!G181</f>
        <v>475491.9</v>
      </c>
      <c r="I182" s="110">
        <f>'Приложение 4'!H181</f>
        <v>475491.9</v>
      </c>
    </row>
    <row r="183" spans="1:9" s="141" customFormat="1" ht="30.75" x14ac:dyDescent="0.25">
      <c r="A183" s="72" t="s">
        <v>170</v>
      </c>
      <c r="B183" s="103">
        <v>701</v>
      </c>
      <c r="C183" s="109" t="s">
        <v>248</v>
      </c>
      <c r="D183" s="109" t="s">
        <v>248</v>
      </c>
      <c r="E183" s="143" t="s">
        <v>495</v>
      </c>
      <c r="F183" s="100">
        <v>200</v>
      </c>
      <c r="G183" s="110">
        <f>'Приложение 4'!F182</f>
        <v>4939765.2700000005</v>
      </c>
      <c r="H183" s="110">
        <f>'Приложение 4'!G182</f>
        <v>4731702.57</v>
      </c>
      <c r="I183" s="110">
        <f>'Приложение 4'!H182</f>
        <v>4731702.57</v>
      </c>
    </row>
    <row r="184" spans="1:9" s="141" customFormat="1" x14ac:dyDescent="0.25">
      <c r="A184" s="70" t="s">
        <v>171</v>
      </c>
      <c r="B184" s="103">
        <v>701</v>
      </c>
      <c r="C184" s="109" t="s">
        <v>248</v>
      </c>
      <c r="D184" s="109" t="s">
        <v>248</v>
      </c>
      <c r="E184" s="143" t="s">
        <v>495</v>
      </c>
      <c r="F184" s="100">
        <v>300</v>
      </c>
      <c r="G184" s="110">
        <f>'Приложение 4'!F183</f>
        <v>9754630.7899999991</v>
      </c>
      <c r="H184" s="110">
        <f>'Приложение 4'!G183</f>
        <v>9851630.7899999991</v>
      </c>
      <c r="I184" s="110">
        <f>'Приложение 4'!H183</f>
        <v>9851630.7899999991</v>
      </c>
    </row>
    <row r="185" spans="1:9" s="141" customFormat="1" x14ac:dyDescent="0.25">
      <c r="A185" s="72" t="s">
        <v>497</v>
      </c>
      <c r="B185" s="103">
        <v>701</v>
      </c>
      <c r="C185" s="109" t="s">
        <v>248</v>
      </c>
      <c r="D185" s="109" t="s">
        <v>248</v>
      </c>
      <c r="E185" s="109" t="s">
        <v>496</v>
      </c>
      <c r="F185" s="109"/>
      <c r="G185" s="110">
        <f>SUM(G186:G187)</f>
        <v>17463929.23</v>
      </c>
      <c r="H185" s="110">
        <f>SUM(H186:H187)</f>
        <v>16541367.949999999</v>
      </c>
      <c r="I185" s="110">
        <f>SUM(I186:I187)</f>
        <v>17199367.949999999</v>
      </c>
    </row>
    <row r="186" spans="1:9" s="141" customFormat="1" ht="75.75" x14ac:dyDescent="0.25">
      <c r="A186" s="70" t="s">
        <v>169</v>
      </c>
      <c r="B186" s="103">
        <v>701</v>
      </c>
      <c r="C186" s="109" t="s">
        <v>248</v>
      </c>
      <c r="D186" s="109" t="s">
        <v>248</v>
      </c>
      <c r="E186" s="109" t="s">
        <v>496</v>
      </c>
      <c r="F186" s="109" t="s">
        <v>178</v>
      </c>
      <c r="G186" s="111">
        <f>'Приложение 4'!F185</f>
        <v>16170566.799999999</v>
      </c>
      <c r="H186" s="111">
        <f>'Приложение 4'!G185</f>
        <v>15704865.52</v>
      </c>
      <c r="I186" s="111">
        <f>'Приложение 4'!H185</f>
        <v>16362865.52</v>
      </c>
    </row>
    <row r="187" spans="1:9" s="141" customFormat="1" ht="32.25" customHeight="1" x14ac:dyDescent="0.25">
      <c r="A187" s="72" t="s">
        <v>170</v>
      </c>
      <c r="B187" s="103">
        <v>701</v>
      </c>
      <c r="C187" s="109" t="s">
        <v>248</v>
      </c>
      <c r="D187" s="109" t="s">
        <v>248</v>
      </c>
      <c r="E187" s="109" t="s">
        <v>496</v>
      </c>
      <c r="F187" s="109" t="s">
        <v>181</v>
      </c>
      <c r="G187" s="111">
        <f>'Приложение 4'!F186</f>
        <v>1293362.4300000002</v>
      </c>
      <c r="H187" s="111">
        <f>'Приложение 4'!G186</f>
        <v>836502.43</v>
      </c>
      <c r="I187" s="111">
        <f>'Приложение 4'!H186</f>
        <v>836502.43</v>
      </c>
    </row>
    <row r="188" spans="1:9" s="141" customFormat="1" x14ac:dyDescent="0.25">
      <c r="A188" s="79" t="s">
        <v>252</v>
      </c>
      <c r="B188" s="103">
        <v>701</v>
      </c>
      <c r="C188" s="107" t="s">
        <v>248</v>
      </c>
      <c r="D188" s="107" t="s">
        <v>253</v>
      </c>
      <c r="E188" s="103"/>
      <c r="F188" s="103"/>
      <c r="G188" s="113">
        <f>G189+G203</f>
        <v>146783684.07999998</v>
      </c>
      <c r="H188" s="113">
        <f>H189+H203</f>
        <v>137511561</v>
      </c>
      <c r="I188" s="113">
        <f>I189+I203</f>
        <v>137511561</v>
      </c>
    </row>
    <row r="189" spans="1:9" s="141" customFormat="1" x14ac:dyDescent="0.25">
      <c r="A189" s="79" t="s">
        <v>168</v>
      </c>
      <c r="B189" s="103">
        <v>701</v>
      </c>
      <c r="C189" s="107" t="s">
        <v>248</v>
      </c>
      <c r="D189" s="107" t="s">
        <v>253</v>
      </c>
      <c r="E189" s="142" t="s">
        <v>475</v>
      </c>
      <c r="F189" s="103"/>
      <c r="G189" s="113">
        <f>G190+G196</f>
        <v>144857117.41999999</v>
      </c>
      <c r="H189" s="113">
        <f>H190+H196</f>
        <v>137511561</v>
      </c>
      <c r="I189" s="113">
        <f>I190+I196</f>
        <v>137511561</v>
      </c>
    </row>
    <row r="190" spans="1:9" s="141" customFormat="1" x14ac:dyDescent="0.25">
      <c r="A190" s="70" t="s">
        <v>478</v>
      </c>
      <c r="B190" s="103">
        <v>701</v>
      </c>
      <c r="C190" s="109" t="s">
        <v>248</v>
      </c>
      <c r="D190" s="109" t="s">
        <v>253</v>
      </c>
      <c r="E190" s="143" t="s">
        <v>477</v>
      </c>
      <c r="F190" s="100"/>
      <c r="G190" s="111">
        <f>SUM(G191:G195)</f>
        <v>59504498.669999994</v>
      </c>
      <c r="H190" s="111">
        <f>SUM(H191:H195)</f>
        <v>60364793.319999993</v>
      </c>
      <c r="I190" s="111">
        <f>SUM(I191:I195)</f>
        <v>60364793.319999993</v>
      </c>
    </row>
    <row r="191" spans="1:9" s="141" customFormat="1" ht="75.75" x14ac:dyDescent="0.25">
      <c r="A191" s="70" t="s">
        <v>169</v>
      </c>
      <c r="B191" s="103">
        <v>701</v>
      </c>
      <c r="C191" s="109" t="s">
        <v>248</v>
      </c>
      <c r="D191" s="109" t="s">
        <v>253</v>
      </c>
      <c r="E191" s="143" t="s">
        <v>477</v>
      </c>
      <c r="F191" s="100">
        <v>100</v>
      </c>
      <c r="G191" s="111">
        <f>'Приложение 4'!F190</f>
        <v>14094912.01</v>
      </c>
      <c r="H191" s="111">
        <f>'Приложение 4'!G190</f>
        <v>0</v>
      </c>
      <c r="I191" s="111">
        <f>'Приложение 4'!H190</f>
        <v>0</v>
      </c>
    </row>
    <row r="192" spans="1:9" s="141" customFormat="1" ht="30.75" x14ac:dyDescent="0.25">
      <c r="A192" s="72" t="s">
        <v>170</v>
      </c>
      <c r="B192" s="103">
        <v>701</v>
      </c>
      <c r="C192" s="109" t="s">
        <v>248</v>
      </c>
      <c r="D192" s="109" t="s">
        <v>253</v>
      </c>
      <c r="E192" s="143" t="s">
        <v>477</v>
      </c>
      <c r="F192" s="100">
        <v>200</v>
      </c>
      <c r="G192" s="111">
        <f>'Приложение 4'!F191</f>
        <v>31318240.829999998</v>
      </c>
      <c r="H192" s="111">
        <f>'Приложение 4'!G191</f>
        <v>0</v>
      </c>
      <c r="I192" s="111">
        <f>'Приложение 4'!H191</f>
        <v>0</v>
      </c>
    </row>
    <row r="193" spans="1:9" s="141" customFormat="1" x14ac:dyDescent="0.25">
      <c r="A193" s="70" t="s">
        <v>171</v>
      </c>
      <c r="B193" s="103">
        <v>701</v>
      </c>
      <c r="C193" s="109" t="s">
        <v>248</v>
      </c>
      <c r="D193" s="109" t="s">
        <v>253</v>
      </c>
      <c r="E193" s="143" t="s">
        <v>477</v>
      </c>
      <c r="F193" s="100">
        <v>300</v>
      </c>
      <c r="G193" s="111">
        <f>'Приложение 4'!F192</f>
        <v>2149692.8199999998</v>
      </c>
      <c r="H193" s="111">
        <f>'Приложение 4'!G192</f>
        <v>16780500</v>
      </c>
      <c r="I193" s="111">
        <f>'Приложение 4'!H192</f>
        <v>16780500</v>
      </c>
    </row>
    <row r="194" spans="1:9" s="141" customFormat="1" ht="30.75" x14ac:dyDescent="0.25">
      <c r="A194" s="70" t="s">
        <v>173</v>
      </c>
      <c r="B194" s="103">
        <v>701</v>
      </c>
      <c r="C194" s="109" t="s">
        <v>248</v>
      </c>
      <c r="D194" s="109" t="s">
        <v>253</v>
      </c>
      <c r="E194" s="143" t="s">
        <v>477</v>
      </c>
      <c r="F194" s="100">
        <v>600</v>
      </c>
      <c r="G194" s="111">
        <f>'Приложение 4'!F193</f>
        <v>11940006.01</v>
      </c>
      <c r="H194" s="111">
        <f>'Приложение 4'!G193</f>
        <v>11940006.01</v>
      </c>
      <c r="I194" s="111">
        <f>'Приложение 4'!H193</f>
        <v>11940006.01</v>
      </c>
    </row>
    <row r="195" spans="1:9" s="141" customFormat="1" x14ac:dyDescent="0.25">
      <c r="A195" s="70" t="s">
        <v>172</v>
      </c>
      <c r="B195" s="103">
        <v>701</v>
      </c>
      <c r="C195" s="109" t="s">
        <v>248</v>
      </c>
      <c r="D195" s="109" t="s">
        <v>253</v>
      </c>
      <c r="E195" s="143" t="s">
        <v>477</v>
      </c>
      <c r="F195" s="100">
        <v>800</v>
      </c>
      <c r="G195" s="111">
        <f>'Приложение 4'!F194</f>
        <v>1647</v>
      </c>
      <c r="H195" s="111">
        <f>'Приложение 4'!G194</f>
        <v>31644287.309999999</v>
      </c>
      <c r="I195" s="111">
        <f>'Приложение 4'!H194</f>
        <v>31644287.309999999</v>
      </c>
    </row>
    <row r="196" spans="1:9" s="140" customFormat="1" x14ac:dyDescent="0.25">
      <c r="A196" s="149" t="s">
        <v>474</v>
      </c>
      <c r="B196" s="100">
        <v>701</v>
      </c>
      <c r="C196" s="109" t="s">
        <v>248</v>
      </c>
      <c r="D196" s="109" t="s">
        <v>253</v>
      </c>
      <c r="E196" s="143" t="s">
        <v>476</v>
      </c>
      <c r="F196" s="100"/>
      <c r="G196" s="111">
        <f>SUM(G197:G202)</f>
        <v>85352618.75</v>
      </c>
      <c r="H196" s="111">
        <f>SUM(H197:H202)</f>
        <v>77146767.680000007</v>
      </c>
      <c r="I196" s="111">
        <f>SUM(I197:I202)</f>
        <v>77146767.680000007</v>
      </c>
    </row>
    <row r="197" spans="1:9" s="141" customFormat="1" ht="75.75" x14ac:dyDescent="0.25">
      <c r="A197" s="70" t="s">
        <v>169</v>
      </c>
      <c r="B197" s="100">
        <v>701</v>
      </c>
      <c r="C197" s="109" t="s">
        <v>248</v>
      </c>
      <c r="D197" s="109" t="s">
        <v>253</v>
      </c>
      <c r="E197" s="143" t="s">
        <v>476</v>
      </c>
      <c r="F197" s="100">
        <v>100</v>
      </c>
      <c r="G197" s="111">
        <f>'Приложение 4'!F196</f>
        <v>56969349.700000003</v>
      </c>
      <c r="H197" s="111">
        <f>'Приложение 4'!G196</f>
        <v>52620735</v>
      </c>
      <c r="I197" s="111">
        <f>'Приложение 4'!H196</f>
        <v>52620735</v>
      </c>
    </row>
    <row r="198" spans="1:9" s="141" customFormat="1" ht="30.75" x14ac:dyDescent="0.25">
      <c r="A198" s="72" t="s">
        <v>170</v>
      </c>
      <c r="B198" s="100">
        <v>701</v>
      </c>
      <c r="C198" s="109" t="s">
        <v>248</v>
      </c>
      <c r="D198" s="109" t="s">
        <v>253</v>
      </c>
      <c r="E198" s="143" t="s">
        <v>476</v>
      </c>
      <c r="F198" s="100">
        <v>200</v>
      </c>
      <c r="G198" s="111">
        <f>'Приложение 4'!F197</f>
        <v>9048353.2199999988</v>
      </c>
      <c r="H198" s="111">
        <f>'Приложение 4'!G197</f>
        <v>7247411.6799999997</v>
      </c>
      <c r="I198" s="111">
        <f>'Приложение 4'!H197</f>
        <v>7247411.6799999997</v>
      </c>
    </row>
    <row r="199" spans="1:9" s="141" customFormat="1" ht="30.75" x14ac:dyDescent="0.25">
      <c r="A199" s="70" t="s">
        <v>173</v>
      </c>
      <c r="B199" s="100">
        <v>701</v>
      </c>
      <c r="C199" s="109" t="s">
        <v>248</v>
      </c>
      <c r="D199" s="109" t="s">
        <v>253</v>
      </c>
      <c r="E199" s="143" t="s">
        <v>476</v>
      </c>
      <c r="F199" s="100">
        <v>600</v>
      </c>
      <c r="G199" s="111">
        <f>'Приложение 4'!F199</f>
        <v>8029493</v>
      </c>
      <c r="H199" s="111">
        <f>'Приложение 4'!G199</f>
        <v>0</v>
      </c>
      <c r="I199" s="111">
        <f>'Приложение 4'!H199</f>
        <v>0</v>
      </c>
    </row>
    <row r="200" spans="1:9" s="141" customFormat="1" x14ac:dyDescent="0.25">
      <c r="A200" s="70" t="s">
        <v>171</v>
      </c>
      <c r="B200" s="100">
        <v>701</v>
      </c>
      <c r="C200" s="109" t="s">
        <v>248</v>
      </c>
      <c r="D200" s="109" t="s">
        <v>253</v>
      </c>
      <c r="E200" s="143" t="s">
        <v>476</v>
      </c>
      <c r="F200" s="100">
        <v>300</v>
      </c>
      <c r="G200" s="111">
        <f>'Приложение 4'!F198</f>
        <v>11305422.83</v>
      </c>
      <c r="H200" s="111">
        <f>'Приложение 4'!G198</f>
        <v>0</v>
      </c>
      <c r="I200" s="111">
        <f>'Приложение 4'!H198</f>
        <v>0</v>
      </c>
    </row>
    <row r="201" spans="1:9" s="141" customFormat="1" x14ac:dyDescent="0.25">
      <c r="A201" s="70" t="s">
        <v>172</v>
      </c>
      <c r="B201" s="100">
        <v>701</v>
      </c>
      <c r="C201" s="109" t="s">
        <v>248</v>
      </c>
      <c r="D201" s="109" t="s">
        <v>253</v>
      </c>
      <c r="E201" s="143" t="s">
        <v>476</v>
      </c>
      <c r="F201" s="100">
        <v>800</v>
      </c>
      <c r="G201" s="111">
        <f>'Приложение 4'!F200</f>
        <v>0</v>
      </c>
      <c r="H201" s="111">
        <f>'Приложение 4'!G200</f>
        <v>4000000</v>
      </c>
      <c r="I201" s="111">
        <f>'Приложение 4'!H200</f>
        <v>4000000</v>
      </c>
    </row>
    <row r="202" spans="1:9" s="141" customFormat="1" x14ac:dyDescent="0.25">
      <c r="A202" s="70" t="s">
        <v>172</v>
      </c>
      <c r="B202" s="100">
        <v>701</v>
      </c>
      <c r="C202" s="109" t="s">
        <v>248</v>
      </c>
      <c r="D202" s="109" t="s">
        <v>253</v>
      </c>
      <c r="E202" s="143" t="s">
        <v>476</v>
      </c>
      <c r="F202" s="100">
        <v>800</v>
      </c>
      <c r="G202" s="111">
        <f>'Приложение 4'!F201</f>
        <v>0</v>
      </c>
      <c r="H202" s="111">
        <f>'Приложение 4'!G201</f>
        <v>13278621</v>
      </c>
      <c r="I202" s="111">
        <f>'Приложение 4'!H201</f>
        <v>13278621</v>
      </c>
    </row>
    <row r="203" spans="1:9" s="141" customFormat="1" x14ac:dyDescent="0.25">
      <c r="A203" s="82" t="s">
        <v>200</v>
      </c>
      <c r="B203" s="100">
        <v>701</v>
      </c>
      <c r="C203" s="107" t="s">
        <v>248</v>
      </c>
      <c r="D203" s="107" t="s">
        <v>253</v>
      </c>
      <c r="E203" s="115" t="s">
        <v>201</v>
      </c>
      <c r="F203" s="103"/>
      <c r="G203" s="113">
        <f t="shared" ref="G203:I203" si="20">G204</f>
        <v>1926566.66</v>
      </c>
      <c r="H203" s="113">
        <f t="shared" si="20"/>
        <v>0</v>
      </c>
      <c r="I203" s="113">
        <f t="shared" si="20"/>
        <v>0</v>
      </c>
    </row>
    <row r="204" spans="1:9" s="141" customFormat="1" x14ac:dyDescent="0.25">
      <c r="A204" s="72" t="s">
        <v>220</v>
      </c>
      <c r="B204" s="100">
        <v>701</v>
      </c>
      <c r="C204" s="109" t="s">
        <v>248</v>
      </c>
      <c r="D204" s="109" t="s">
        <v>253</v>
      </c>
      <c r="E204" s="114" t="s">
        <v>221</v>
      </c>
      <c r="F204" s="100"/>
      <c r="G204" s="111">
        <f>G206+G205</f>
        <v>1926566.66</v>
      </c>
      <c r="H204" s="111">
        <f t="shared" ref="H204:I204" si="21">H206+H205</f>
        <v>0</v>
      </c>
      <c r="I204" s="111">
        <f t="shared" si="21"/>
        <v>0</v>
      </c>
    </row>
    <row r="205" spans="1:9" s="141" customFormat="1" ht="30.75" x14ac:dyDescent="0.25">
      <c r="A205" s="72" t="s">
        <v>170</v>
      </c>
      <c r="B205" s="100">
        <v>701</v>
      </c>
      <c r="C205" s="109" t="s">
        <v>248</v>
      </c>
      <c r="D205" s="109" t="s">
        <v>253</v>
      </c>
      <c r="E205" s="114" t="s">
        <v>221</v>
      </c>
      <c r="F205" s="100">
        <v>200</v>
      </c>
      <c r="G205" s="111">
        <f>'Приложение 4'!F204</f>
        <v>50000</v>
      </c>
      <c r="H205" s="111">
        <f>'Приложение 4'!G204</f>
        <v>0</v>
      </c>
      <c r="I205" s="111">
        <f>'Приложение 4'!H204</f>
        <v>0</v>
      </c>
    </row>
    <row r="206" spans="1:9" s="141" customFormat="1" ht="30.75" x14ac:dyDescent="0.25">
      <c r="A206" s="70" t="s">
        <v>173</v>
      </c>
      <c r="B206" s="100">
        <v>701</v>
      </c>
      <c r="C206" s="109" t="s">
        <v>248</v>
      </c>
      <c r="D206" s="109" t="s">
        <v>253</v>
      </c>
      <c r="E206" s="114" t="s">
        <v>221</v>
      </c>
      <c r="F206" s="100">
        <v>600</v>
      </c>
      <c r="G206" s="111">
        <f>'Приложение 4'!F205</f>
        <v>1876566.66</v>
      </c>
      <c r="H206" s="111">
        <f>'Приложение 4'!G205</f>
        <v>0</v>
      </c>
      <c r="I206" s="111">
        <f>'Приложение 4'!H205</f>
        <v>0</v>
      </c>
    </row>
    <row r="207" spans="1:9" s="141" customFormat="1" x14ac:dyDescent="0.25">
      <c r="A207" s="79" t="s">
        <v>254</v>
      </c>
      <c r="B207" s="100">
        <v>701</v>
      </c>
      <c r="C207" s="107" t="s">
        <v>255</v>
      </c>
      <c r="D207" s="107"/>
      <c r="E207" s="103"/>
      <c r="F207" s="103"/>
      <c r="G207" s="113">
        <f>G208+G225</f>
        <v>140088406.39999998</v>
      </c>
      <c r="H207" s="113">
        <f>H208+H225</f>
        <v>141084800</v>
      </c>
      <c r="I207" s="113">
        <f>I208+I225</f>
        <v>141084800</v>
      </c>
    </row>
    <row r="208" spans="1:9" s="141" customFormat="1" x14ac:dyDescent="0.25">
      <c r="A208" s="79" t="s">
        <v>256</v>
      </c>
      <c r="B208" s="103">
        <v>701</v>
      </c>
      <c r="C208" s="107" t="s">
        <v>255</v>
      </c>
      <c r="D208" s="107" t="s">
        <v>197</v>
      </c>
      <c r="E208" s="103"/>
      <c r="F208" s="103"/>
      <c r="G208" s="113">
        <f>G209+G218+G222</f>
        <v>110575763.39999999</v>
      </c>
      <c r="H208" s="113">
        <f t="shared" ref="H208:I208" si="22">H209+H218+H222</f>
        <v>109626300</v>
      </c>
      <c r="I208" s="113">
        <f t="shared" si="22"/>
        <v>109626300</v>
      </c>
    </row>
    <row r="209" spans="1:9" s="140" customFormat="1" x14ac:dyDescent="0.25">
      <c r="A209" s="79" t="s">
        <v>174</v>
      </c>
      <c r="B209" s="103">
        <v>701</v>
      </c>
      <c r="C209" s="107" t="s">
        <v>255</v>
      </c>
      <c r="D209" s="107" t="s">
        <v>197</v>
      </c>
      <c r="E209" s="142" t="s">
        <v>505</v>
      </c>
      <c r="F209" s="103"/>
      <c r="G209" s="108">
        <f>G212+G214+G210</f>
        <v>108668950.44</v>
      </c>
      <c r="H209" s="108">
        <f>H212+H214+H210</f>
        <v>109626300</v>
      </c>
      <c r="I209" s="108">
        <f>I212+I214+I210</f>
        <v>109626300</v>
      </c>
    </row>
    <row r="210" spans="1:9" s="140" customFormat="1" ht="30.75" x14ac:dyDescent="0.25">
      <c r="A210" s="70" t="s">
        <v>594</v>
      </c>
      <c r="B210" s="100">
        <v>701</v>
      </c>
      <c r="C210" s="109" t="s">
        <v>255</v>
      </c>
      <c r="D210" s="109" t="s">
        <v>197</v>
      </c>
      <c r="E210" s="71" t="s">
        <v>595</v>
      </c>
      <c r="F210" s="59"/>
      <c r="G210" s="110">
        <f>G211</f>
        <v>478374.44</v>
      </c>
      <c r="H210" s="110">
        <f>H211</f>
        <v>0</v>
      </c>
      <c r="I210" s="110">
        <f>I211</f>
        <v>0</v>
      </c>
    </row>
    <row r="211" spans="1:9" s="140" customFormat="1" ht="30.75" x14ac:dyDescent="0.25">
      <c r="A211" s="72" t="s">
        <v>170</v>
      </c>
      <c r="B211" s="100">
        <v>701</v>
      </c>
      <c r="C211" s="109" t="s">
        <v>255</v>
      </c>
      <c r="D211" s="109" t="s">
        <v>197</v>
      </c>
      <c r="E211" s="71" t="s">
        <v>595</v>
      </c>
      <c r="F211" s="59">
        <v>200</v>
      </c>
      <c r="G211" s="110">
        <f>'Приложение 4'!F210</f>
        <v>478374.44</v>
      </c>
      <c r="H211" s="110">
        <f>'Приложение 4'!G210</f>
        <v>0</v>
      </c>
      <c r="I211" s="110">
        <f>'Приложение 4'!H210</f>
        <v>0</v>
      </c>
    </row>
    <row r="212" spans="1:9" s="140" customFormat="1" x14ac:dyDescent="0.25">
      <c r="A212" s="70" t="s">
        <v>478</v>
      </c>
      <c r="B212" s="100">
        <v>701</v>
      </c>
      <c r="C212" s="109" t="s">
        <v>255</v>
      </c>
      <c r="D212" s="109" t="s">
        <v>197</v>
      </c>
      <c r="E212" s="143" t="s">
        <v>507</v>
      </c>
      <c r="F212" s="100"/>
      <c r="G212" s="110">
        <f>G213</f>
        <v>1422100</v>
      </c>
      <c r="H212" s="110">
        <f>H213</f>
        <v>1560400</v>
      </c>
      <c r="I212" s="110">
        <f>I213</f>
        <v>1560400</v>
      </c>
    </row>
    <row r="213" spans="1:9" s="140" customFormat="1" ht="30.75" x14ac:dyDescent="0.25">
      <c r="A213" s="72" t="s">
        <v>170</v>
      </c>
      <c r="B213" s="100">
        <v>701</v>
      </c>
      <c r="C213" s="109" t="s">
        <v>255</v>
      </c>
      <c r="D213" s="109" t="s">
        <v>197</v>
      </c>
      <c r="E213" s="143" t="s">
        <v>507</v>
      </c>
      <c r="F213" s="100">
        <v>200</v>
      </c>
      <c r="G213" s="110">
        <f>'Приложение 4'!F212</f>
        <v>1422100</v>
      </c>
      <c r="H213" s="110">
        <f>'Приложение 4'!G212</f>
        <v>1560400</v>
      </c>
      <c r="I213" s="110">
        <f>'Приложение 4'!H212</f>
        <v>1560400</v>
      </c>
    </row>
    <row r="214" spans="1:9" s="140" customFormat="1" x14ac:dyDescent="0.25">
      <c r="A214" s="154" t="s">
        <v>474</v>
      </c>
      <c r="B214" s="100">
        <v>701</v>
      </c>
      <c r="C214" s="109" t="s">
        <v>255</v>
      </c>
      <c r="D214" s="109" t="s">
        <v>197</v>
      </c>
      <c r="E214" s="143" t="s">
        <v>506</v>
      </c>
      <c r="F214" s="100"/>
      <c r="G214" s="110">
        <f>SUM(G215:G217)</f>
        <v>106768476</v>
      </c>
      <c r="H214" s="110">
        <f>SUM(H215:H217)</f>
        <v>108065900</v>
      </c>
      <c r="I214" s="110">
        <f>SUM(I215:I217)</f>
        <v>108065900</v>
      </c>
    </row>
    <row r="215" spans="1:9" s="140" customFormat="1" ht="75.75" x14ac:dyDescent="0.25">
      <c r="A215" s="70" t="s">
        <v>169</v>
      </c>
      <c r="B215" s="100">
        <v>701</v>
      </c>
      <c r="C215" s="109" t="s">
        <v>255</v>
      </c>
      <c r="D215" s="109" t="s">
        <v>197</v>
      </c>
      <c r="E215" s="143" t="s">
        <v>506</v>
      </c>
      <c r="F215" s="100">
        <v>100</v>
      </c>
      <c r="G215" s="110">
        <f>'Приложение 4'!F214</f>
        <v>90317476</v>
      </c>
      <c r="H215" s="110">
        <f>'Приложение 4'!G214</f>
        <v>91206700</v>
      </c>
      <c r="I215" s="110">
        <f>'Приложение 4'!H214</f>
        <v>91206700</v>
      </c>
    </row>
    <row r="216" spans="1:9" s="140" customFormat="1" ht="30.75" x14ac:dyDescent="0.25">
      <c r="A216" s="72" t="s">
        <v>170</v>
      </c>
      <c r="B216" s="100">
        <v>701</v>
      </c>
      <c r="C216" s="109" t="s">
        <v>255</v>
      </c>
      <c r="D216" s="109" t="s">
        <v>197</v>
      </c>
      <c r="E216" s="143" t="s">
        <v>506</v>
      </c>
      <c r="F216" s="100">
        <v>200</v>
      </c>
      <c r="G216" s="110">
        <f>'Приложение 4'!F215</f>
        <v>15685300</v>
      </c>
      <c r="H216" s="110">
        <f>'Приложение 4'!G215</f>
        <v>16013500</v>
      </c>
      <c r="I216" s="110">
        <f>'Приложение 4'!H215</f>
        <v>16013500</v>
      </c>
    </row>
    <row r="217" spans="1:9" s="140" customFormat="1" x14ac:dyDescent="0.25">
      <c r="A217" s="70" t="s">
        <v>172</v>
      </c>
      <c r="B217" s="100">
        <v>701</v>
      </c>
      <c r="C217" s="109" t="s">
        <v>255</v>
      </c>
      <c r="D217" s="109" t="s">
        <v>197</v>
      </c>
      <c r="E217" s="143" t="s">
        <v>506</v>
      </c>
      <c r="F217" s="100">
        <v>800</v>
      </c>
      <c r="G217" s="110">
        <f>'Приложение 4'!F216</f>
        <v>765700</v>
      </c>
      <c r="H217" s="110">
        <f>'Приложение 4'!G216</f>
        <v>845700</v>
      </c>
      <c r="I217" s="110">
        <f>'Приложение 4'!H216</f>
        <v>845700</v>
      </c>
    </row>
    <row r="218" spans="1:9" s="141" customFormat="1" x14ac:dyDescent="0.25">
      <c r="A218" s="79" t="s">
        <v>668</v>
      </c>
      <c r="B218" s="103">
        <v>701</v>
      </c>
      <c r="C218" s="107" t="s">
        <v>255</v>
      </c>
      <c r="D218" s="107" t="s">
        <v>197</v>
      </c>
      <c r="E218" s="142" t="s">
        <v>669</v>
      </c>
      <c r="F218" s="103"/>
      <c r="G218" s="108">
        <f>G219</f>
        <v>1037312.96</v>
      </c>
      <c r="H218" s="108">
        <f>H219</f>
        <v>0</v>
      </c>
      <c r="I218" s="108">
        <f>I219</f>
        <v>0</v>
      </c>
    </row>
    <row r="219" spans="1:9" s="140" customFormat="1" x14ac:dyDescent="0.25">
      <c r="A219" s="70" t="s">
        <v>478</v>
      </c>
      <c r="B219" s="100">
        <v>701</v>
      </c>
      <c r="C219" s="109" t="s">
        <v>255</v>
      </c>
      <c r="D219" s="109" t="s">
        <v>197</v>
      </c>
      <c r="E219" s="143" t="s">
        <v>670</v>
      </c>
      <c r="F219" s="100"/>
      <c r="G219" s="110">
        <f>SUM(G220:G221)</f>
        <v>1037312.96</v>
      </c>
      <c r="H219" s="110">
        <f>SUM(H220:H221)</f>
        <v>0</v>
      </c>
      <c r="I219" s="110">
        <f>SUM(I220:I221)</f>
        <v>0</v>
      </c>
    </row>
    <row r="220" spans="1:9" s="140" customFormat="1" ht="30.75" x14ac:dyDescent="0.25">
      <c r="A220" s="70" t="s">
        <v>187</v>
      </c>
      <c r="B220" s="100">
        <v>701</v>
      </c>
      <c r="C220" s="109" t="s">
        <v>255</v>
      </c>
      <c r="D220" s="109" t="s">
        <v>197</v>
      </c>
      <c r="E220" s="143" t="s">
        <v>670</v>
      </c>
      <c r="F220" s="100">
        <v>400</v>
      </c>
      <c r="G220" s="110">
        <f>'Приложение 4'!F219</f>
        <v>981509.22</v>
      </c>
      <c r="H220" s="110">
        <f>'Приложение 4'!G219</f>
        <v>0</v>
      </c>
      <c r="I220" s="110">
        <f>'Приложение 4'!H219</f>
        <v>0</v>
      </c>
    </row>
    <row r="221" spans="1:9" s="140" customFormat="1" x14ac:dyDescent="0.25">
      <c r="A221" s="70" t="s">
        <v>172</v>
      </c>
      <c r="B221" s="100">
        <v>701</v>
      </c>
      <c r="C221" s="109" t="s">
        <v>255</v>
      </c>
      <c r="D221" s="109" t="s">
        <v>197</v>
      </c>
      <c r="E221" s="143" t="s">
        <v>670</v>
      </c>
      <c r="F221" s="100">
        <v>800</v>
      </c>
      <c r="G221" s="110">
        <f>'Приложение 4'!F220</f>
        <v>55803.74</v>
      </c>
      <c r="H221" s="110">
        <f>'Приложение 4'!G220</f>
        <v>0</v>
      </c>
      <c r="I221" s="110">
        <f>'Приложение 4'!H220</f>
        <v>0</v>
      </c>
    </row>
    <row r="222" spans="1:9" s="140" customFormat="1" x14ac:dyDescent="0.25">
      <c r="A222" s="70" t="s">
        <v>200</v>
      </c>
      <c r="B222" s="100">
        <v>701</v>
      </c>
      <c r="C222" s="109" t="s">
        <v>255</v>
      </c>
      <c r="D222" s="109" t="s">
        <v>197</v>
      </c>
      <c r="E222" s="143" t="s">
        <v>201</v>
      </c>
      <c r="F222" s="100"/>
      <c r="G222" s="110">
        <f>G223</f>
        <v>869500</v>
      </c>
      <c r="H222" s="110">
        <f t="shared" ref="H222:I223" si="23">H223</f>
        <v>0</v>
      </c>
      <c r="I222" s="110">
        <f t="shared" si="23"/>
        <v>0</v>
      </c>
    </row>
    <row r="223" spans="1:9" s="140" customFormat="1" x14ac:dyDescent="0.25">
      <c r="A223" s="70" t="s">
        <v>220</v>
      </c>
      <c r="B223" s="100">
        <v>701</v>
      </c>
      <c r="C223" s="109" t="s">
        <v>255</v>
      </c>
      <c r="D223" s="109" t="s">
        <v>197</v>
      </c>
      <c r="E223" s="143" t="s">
        <v>221</v>
      </c>
      <c r="F223" s="100"/>
      <c r="G223" s="110">
        <f>G224</f>
        <v>869500</v>
      </c>
      <c r="H223" s="110">
        <f t="shared" si="23"/>
        <v>0</v>
      </c>
      <c r="I223" s="110">
        <f t="shared" si="23"/>
        <v>0</v>
      </c>
    </row>
    <row r="224" spans="1:9" s="140" customFormat="1" ht="30.75" x14ac:dyDescent="0.25">
      <c r="A224" s="70" t="s">
        <v>170</v>
      </c>
      <c r="B224" s="100">
        <v>701</v>
      </c>
      <c r="C224" s="109" t="s">
        <v>255</v>
      </c>
      <c r="D224" s="109" t="s">
        <v>197</v>
      </c>
      <c r="E224" s="143" t="s">
        <v>221</v>
      </c>
      <c r="F224" s="100">
        <v>200</v>
      </c>
      <c r="G224" s="110">
        <f>'Приложение 4'!F223</f>
        <v>869500</v>
      </c>
      <c r="H224" s="110">
        <f>'Приложение 4'!G223</f>
        <v>0</v>
      </c>
      <c r="I224" s="110">
        <f>'Приложение 4'!H223</f>
        <v>0</v>
      </c>
    </row>
    <row r="225" spans="1:9" s="141" customFormat="1" ht="31.5" x14ac:dyDescent="0.25">
      <c r="A225" s="79" t="s">
        <v>292</v>
      </c>
      <c r="B225" s="100">
        <v>701</v>
      </c>
      <c r="C225" s="107" t="s">
        <v>255</v>
      </c>
      <c r="D225" s="107" t="s">
        <v>211</v>
      </c>
      <c r="E225" s="103"/>
      <c r="F225" s="103"/>
      <c r="G225" s="113">
        <f>G226+G232</f>
        <v>29512642.999999996</v>
      </c>
      <c r="H225" s="113">
        <f>H226+H232</f>
        <v>31458500</v>
      </c>
      <c r="I225" s="113">
        <f>I226+I232</f>
        <v>31458500</v>
      </c>
    </row>
    <row r="226" spans="1:9" s="141" customFormat="1" x14ac:dyDescent="0.25">
      <c r="A226" s="79" t="s">
        <v>174</v>
      </c>
      <c r="B226" s="100">
        <v>701</v>
      </c>
      <c r="C226" s="107" t="s">
        <v>255</v>
      </c>
      <c r="D226" s="107" t="s">
        <v>211</v>
      </c>
      <c r="E226" s="142" t="s">
        <v>505</v>
      </c>
      <c r="F226" s="103"/>
      <c r="G226" s="113">
        <f>G227</f>
        <v>29210642.999999996</v>
      </c>
      <c r="H226" s="113">
        <f>H227</f>
        <v>31458500</v>
      </c>
      <c r="I226" s="113">
        <f>I227</f>
        <v>31458500</v>
      </c>
    </row>
    <row r="227" spans="1:9" s="141" customFormat="1" x14ac:dyDescent="0.25">
      <c r="A227" s="154" t="s">
        <v>474</v>
      </c>
      <c r="B227" s="100">
        <v>701</v>
      </c>
      <c r="C227" s="109" t="s">
        <v>255</v>
      </c>
      <c r="D227" s="109" t="s">
        <v>211</v>
      </c>
      <c r="E227" s="143" t="s">
        <v>506</v>
      </c>
      <c r="F227" s="100"/>
      <c r="G227" s="111">
        <f>SUM(G228:G231)</f>
        <v>29210642.999999996</v>
      </c>
      <c r="H227" s="111">
        <f>SUM(H228:H231)</f>
        <v>31458500</v>
      </c>
      <c r="I227" s="111">
        <f>SUM(I228:I231)</f>
        <v>31458500</v>
      </c>
    </row>
    <row r="228" spans="1:9" s="141" customFormat="1" ht="75.75" x14ac:dyDescent="0.25">
      <c r="A228" s="70" t="s">
        <v>169</v>
      </c>
      <c r="B228" s="103">
        <v>701</v>
      </c>
      <c r="C228" s="109" t="s">
        <v>255</v>
      </c>
      <c r="D228" s="109" t="s">
        <v>211</v>
      </c>
      <c r="E228" s="143" t="s">
        <v>506</v>
      </c>
      <c r="F228" s="100">
        <v>100</v>
      </c>
      <c r="G228" s="111">
        <f>'Приложение 4'!F227</f>
        <v>23217660.049999997</v>
      </c>
      <c r="H228" s="111">
        <f>'Приложение 4'!G227</f>
        <v>23981400</v>
      </c>
      <c r="I228" s="111">
        <f>'Приложение 4'!H227</f>
        <v>23981400</v>
      </c>
    </row>
    <row r="229" spans="1:9" s="141" customFormat="1" ht="30.75" x14ac:dyDescent="0.25">
      <c r="A229" s="72" t="s">
        <v>170</v>
      </c>
      <c r="B229" s="103">
        <v>701</v>
      </c>
      <c r="C229" s="109" t="s">
        <v>255</v>
      </c>
      <c r="D229" s="109" t="s">
        <v>211</v>
      </c>
      <c r="E229" s="143" t="s">
        <v>506</v>
      </c>
      <c r="F229" s="100">
        <v>200</v>
      </c>
      <c r="G229" s="111">
        <f>'Приложение 4'!F228</f>
        <v>5182700</v>
      </c>
      <c r="H229" s="111">
        <f>'Приложение 4'!G228</f>
        <v>7465900</v>
      </c>
      <c r="I229" s="111">
        <f>'Приложение 4'!H228</f>
        <v>7465900</v>
      </c>
    </row>
    <row r="230" spans="1:9" s="141" customFormat="1" x14ac:dyDescent="0.25">
      <c r="A230" s="70" t="s">
        <v>171</v>
      </c>
      <c r="B230" s="103">
        <v>701</v>
      </c>
      <c r="C230" s="109" t="s">
        <v>255</v>
      </c>
      <c r="D230" s="109" t="s">
        <v>211</v>
      </c>
      <c r="E230" s="143" t="s">
        <v>506</v>
      </c>
      <c r="F230" s="100">
        <v>300</v>
      </c>
      <c r="G230" s="111">
        <f>'Приложение 4'!F229</f>
        <v>799082.95000000007</v>
      </c>
      <c r="H230" s="111">
        <f>'Приложение 4'!G229</f>
        <v>0</v>
      </c>
      <c r="I230" s="111">
        <f>'Приложение 4'!H229</f>
        <v>0</v>
      </c>
    </row>
    <row r="231" spans="1:9" s="141" customFormat="1" x14ac:dyDescent="0.25">
      <c r="A231" s="70" t="s">
        <v>172</v>
      </c>
      <c r="B231" s="103">
        <v>701</v>
      </c>
      <c r="C231" s="109" t="s">
        <v>255</v>
      </c>
      <c r="D231" s="109" t="s">
        <v>211</v>
      </c>
      <c r="E231" s="143" t="s">
        <v>506</v>
      </c>
      <c r="F231" s="100">
        <v>800</v>
      </c>
      <c r="G231" s="111">
        <f>'Приложение 4'!F230</f>
        <v>11200</v>
      </c>
      <c r="H231" s="111">
        <f>'Приложение 4'!G230</f>
        <v>11200</v>
      </c>
      <c r="I231" s="111">
        <f>'Приложение 4'!H230</f>
        <v>11200</v>
      </c>
    </row>
    <row r="232" spans="1:9" s="141" customFormat="1" x14ac:dyDescent="0.25">
      <c r="A232" s="82" t="s">
        <v>200</v>
      </c>
      <c r="B232" s="103">
        <v>701</v>
      </c>
      <c r="C232" s="107" t="s">
        <v>255</v>
      </c>
      <c r="D232" s="107" t="s">
        <v>211</v>
      </c>
      <c r="E232" s="107" t="s">
        <v>201</v>
      </c>
      <c r="F232" s="103"/>
      <c r="G232" s="113">
        <f t="shared" ref="G232:I233" si="24">G233</f>
        <v>302000</v>
      </c>
      <c r="H232" s="113">
        <f t="shared" si="24"/>
        <v>0</v>
      </c>
      <c r="I232" s="113">
        <f t="shared" si="24"/>
        <v>0</v>
      </c>
    </row>
    <row r="233" spans="1:9" s="141" customFormat="1" x14ac:dyDescent="0.25">
      <c r="A233" s="72" t="s">
        <v>220</v>
      </c>
      <c r="B233" s="103">
        <v>701</v>
      </c>
      <c r="C233" s="109" t="s">
        <v>255</v>
      </c>
      <c r="D233" s="109" t="s">
        <v>211</v>
      </c>
      <c r="E233" s="109" t="s">
        <v>221</v>
      </c>
      <c r="F233" s="100"/>
      <c r="G233" s="111">
        <f t="shared" si="24"/>
        <v>302000</v>
      </c>
      <c r="H233" s="111">
        <f t="shared" si="24"/>
        <v>0</v>
      </c>
      <c r="I233" s="111">
        <f t="shared" si="24"/>
        <v>0</v>
      </c>
    </row>
    <row r="234" spans="1:9" s="141" customFormat="1" ht="30.75" x14ac:dyDescent="0.25">
      <c r="A234" s="72" t="s">
        <v>170</v>
      </c>
      <c r="B234" s="103">
        <v>701</v>
      </c>
      <c r="C234" s="109" t="s">
        <v>255</v>
      </c>
      <c r="D234" s="109" t="s">
        <v>211</v>
      </c>
      <c r="E234" s="109" t="s">
        <v>221</v>
      </c>
      <c r="F234" s="100">
        <v>200</v>
      </c>
      <c r="G234" s="111">
        <f>'Приложение 4'!F233</f>
        <v>302000</v>
      </c>
      <c r="H234" s="111">
        <f>'Приложение 4'!G233</f>
        <v>0</v>
      </c>
      <c r="I234" s="111">
        <f>'Приложение 4'!H233</f>
        <v>0</v>
      </c>
    </row>
    <row r="235" spans="1:9" s="141" customFormat="1" x14ac:dyDescent="0.25">
      <c r="A235" s="79" t="s">
        <v>257</v>
      </c>
      <c r="B235" s="103">
        <v>701</v>
      </c>
      <c r="C235" s="107" t="s">
        <v>253</v>
      </c>
      <c r="D235" s="107"/>
      <c r="E235" s="143"/>
      <c r="F235" s="100"/>
      <c r="G235" s="113">
        <f>G236</f>
        <v>10930452.68</v>
      </c>
      <c r="H235" s="113">
        <f t="shared" ref="H235:I238" si="25">H236</f>
        <v>0</v>
      </c>
      <c r="I235" s="113">
        <f t="shared" si="25"/>
        <v>0</v>
      </c>
    </row>
    <row r="236" spans="1:9" s="141" customFormat="1" x14ac:dyDescent="0.25">
      <c r="A236" s="79" t="s">
        <v>258</v>
      </c>
      <c r="B236" s="103">
        <v>701</v>
      </c>
      <c r="C236" s="107" t="s">
        <v>253</v>
      </c>
      <c r="D236" s="107" t="s">
        <v>253</v>
      </c>
      <c r="E236" s="143"/>
      <c r="F236" s="100"/>
      <c r="G236" s="113">
        <f>G237</f>
        <v>10930452.68</v>
      </c>
      <c r="H236" s="113">
        <f t="shared" si="25"/>
        <v>0</v>
      </c>
      <c r="I236" s="113">
        <f t="shared" si="25"/>
        <v>0</v>
      </c>
    </row>
    <row r="237" spans="1:9" s="141" customFormat="1" x14ac:dyDescent="0.25">
      <c r="A237" s="82" t="s">
        <v>584</v>
      </c>
      <c r="B237" s="103">
        <v>701</v>
      </c>
      <c r="C237" s="107" t="s">
        <v>253</v>
      </c>
      <c r="D237" s="107" t="s">
        <v>253</v>
      </c>
      <c r="E237" s="83" t="s">
        <v>585</v>
      </c>
      <c r="F237" s="100"/>
      <c r="G237" s="113">
        <f>G238</f>
        <v>10930452.68</v>
      </c>
      <c r="H237" s="113">
        <f t="shared" si="25"/>
        <v>0</v>
      </c>
      <c r="I237" s="113">
        <f t="shared" si="25"/>
        <v>0</v>
      </c>
    </row>
    <row r="238" spans="1:9" s="141" customFormat="1" x14ac:dyDescent="0.25">
      <c r="A238" s="72" t="s">
        <v>478</v>
      </c>
      <c r="B238" s="103">
        <v>701</v>
      </c>
      <c r="C238" s="109" t="s">
        <v>253</v>
      </c>
      <c r="D238" s="109" t="s">
        <v>253</v>
      </c>
      <c r="E238" s="84" t="s">
        <v>586</v>
      </c>
      <c r="F238" s="100"/>
      <c r="G238" s="111">
        <f>G239</f>
        <v>10930452.68</v>
      </c>
      <c r="H238" s="111">
        <f t="shared" si="25"/>
        <v>0</v>
      </c>
      <c r="I238" s="111">
        <f t="shared" si="25"/>
        <v>0</v>
      </c>
    </row>
    <row r="239" spans="1:9" s="141" customFormat="1" ht="30.75" x14ac:dyDescent="0.25">
      <c r="A239" s="72" t="s">
        <v>170</v>
      </c>
      <c r="B239" s="103">
        <v>701</v>
      </c>
      <c r="C239" s="109" t="s">
        <v>253</v>
      </c>
      <c r="D239" s="109" t="s">
        <v>253</v>
      </c>
      <c r="E239" s="84" t="s">
        <v>586</v>
      </c>
      <c r="F239" s="100">
        <v>200</v>
      </c>
      <c r="G239" s="111">
        <f>'Приложение 4'!F238</f>
        <v>10930452.68</v>
      </c>
      <c r="H239" s="111">
        <f>'Приложение 4'!G238</f>
        <v>0</v>
      </c>
      <c r="I239" s="111">
        <f>'Приложение 4'!H238</f>
        <v>0</v>
      </c>
    </row>
    <row r="240" spans="1:9" s="141" customFormat="1" x14ac:dyDescent="0.25">
      <c r="A240" s="82" t="s">
        <v>259</v>
      </c>
      <c r="B240" s="103">
        <v>701</v>
      </c>
      <c r="C240" s="107" t="s">
        <v>232</v>
      </c>
      <c r="D240" s="107"/>
      <c r="E240" s="107"/>
      <c r="F240" s="107"/>
      <c r="G240" s="113">
        <f>G241+G248+G262+G281</f>
        <v>119567894.39999999</v>
      </c>
      <c r="H240" s="113">
        <f>H241+H248+H262+H281</f>
        <v>106318367.03999999</v>
      </c>
      <c r="I240" s="113">
        <f>I241+I248+I262+I281</f>
        <v>137383196.31</v>
      </c>
    </row>
    <row r="241" spans="1:10" s="141" customFormat="1" x14ac:dyDescent="0.25">
      <c r="A241" s="82" t="s">
        <v>260</v>
      </c>
      <c r="B241" s="103">
        <v>701</v>
      </c>
      <c r="C241" s="107" t="s">
        <v>232</v>
      </c>
      <c r="D241" s="107" t="s">
        <v>197</v>
      </c>
      <c r="E241" s="107"/>
      <c r="F241" s="107"/>
      <c r="G241" s="113">
        <f>G242+G245</f>
        <v>10029907.66</v>
      </c>
      <c r="H241" s="113">
        <f>H242+H245</f>
        <v>9138770</v>
      </c>
      <c r="I241" s="113">
        <f>I242+I245</f>
        <v>9138770</v>
      </c>
    </row>
    <row r="242" spans="1:10" s="141" customFormat="1" x14ac:dyDescent="0.25">
      <c r="A242" s="82" t="s">
        <v>182</v>
      </c>
      <c r="B242" s="103">
        <v>701</v>
      </c>
      <c r="C242" s="107" t="s">
        <v>232</v>
      </c>
      <c r="D242" s="107" t="s">
        <v>197</v>
      </c>
      <c r="E242" s="107" t="s">
        <v>498</v>
      </c>
      <c r="F242" s="107"/>
      <c r="G242" s="108">
        <f t="shared" ref="G242:I243" si="26">G243</f>
        <v>5793213</v>
      </c>
      <c r="H242" s="108">
        <f t="shared" si="26"/>
        <v>5130000</v>
      </c>
      <c r="I242" s="108">
        <f t="shared" si="26"/>
        <v>5130000</v>
      </c>
    </row>
    <row r="243" spans="1:10" s="141" customFormat="1" x14ac:dyDescent="0.25">
      <c r="A243" s="72" t="s">
        <v>474</v>
      </c>
      <c r="B243" s="103">
        <v>701</v>
      </c>
      <c r="C243" s="109" t="s">
        <v>232</v>
      </c>
      <c r="D243" s="109" t="s">
        <v>197</v>
      </c>
      <c r="E243" s="109" t="s">
        <v>499</v>
      </c>
      <c r="F243" s="109"/>
      <c r="G243" s="110">
        <f t="shared" si="26"/>
        <v>5793213</v>
      </c>
      <c r="H243" s="110">
        <f t="shared" si="26"/>
        <v>5130000</v>
      </c>
      <c r="I243" s="110">
        <f t="shared" si="26"/>
        <v>5130000</v>
      </c>
    </row>
    <row r="244" spans="1:10" s="141" customFormat="1" x14ac:dyDescent="0.25">
      <c r="A244" s="72" t="s">
        <v>171</v>
      </c>
      <c r="B244" s="103">
        <v>701</v>
      </c>
      <c r="C244" s="109" t="s">
        <v>232</v>
      </c>
      <c r="D244" s="109" t="s">
        <v>197</v>
      </c>
      <c r="E244" s="109" t="s">
        <v>499</v>
      </c>
      <c r="F244" s="109" t="s">
        <v>183</v>
      </c>
      <c r="G244" s="110">
        <f>'Приложение 4'!F243</f>
        <v>5793213</v>
      </c>
      <c r="H244" s="110">
        <f>'Приложение 4'!G243</f>
        <v>5130000</v>
      </c>
      <c r="I244" s="110">
        <f>'Приложение 4'!H243</f>
        <v>5130000</v>
      </c>
    </row>
    <row r="245" spans="1:10" s="141" customFormat="1" x14ac:dyDescent="0.25">
      <c r="A245" s="82" t="s">
        <v>200</v>
      </c>
      <c r="B245" s="103">
        <v>701</v>
      </c>
      <c r="C245" s="107" t="s">
        <v>232</v>
      </c>
      <c r="D245" s="107" t="s">
        <v>197</v>
      </c>
      <c r="E245" s="107" t="s">
        <v>201</v>
      </c>
      <c r="F245" s="107"/>
      <c r="G245" s="108">
        <f t="shared" ref="G245:I246" si="27">G246</f>
        <v>4236694.66</v>
      </c>
      <c r="H245" s="108">
        <f t="shared" si="27"/>
        <v>4008770</v>
      </c>
      <c r="I245" s="108">
        <f t="shared" si="27"/>
        <v>4008770</v>
      </c>
    </row>
    <row r="246" spans="1:10" s="141" customFormat="1" x14ac:dyDescent="0.25">
      <c r="A246" s="72" t="s">
        <v>220</v>
      </c>
      <c r="B246" s="103">
        <v>701</v>
      </c>
      <c r="C246" s="109" t="s">
        <v>232</v>
      </c>
      <c r="D246" s="109" t="s">
        <v>197</v>
      </c>
      <c r="E246" s="109" t="s">
        <v>221</v>
      </c>
      <c r="F246" s="109"/>
      <c r="G246" s="110">
        <f t="shared" si="27"/>
        <v>4236694.66</v>
      </c>
      <c r="H246" s="110">
        <f t="shared" si="27"/>
        <v>4008770</v>
      </c>
      <c r="I246" s="110">
        <f t="shared" si="27"/>
        <v>4008770</v>
      </c>
    </row>
    <row r="247" spans="1:10" s="151" customFormat="1" x14ac:dyDescent="0.25">
      <c r="A247" s="72" t="s">
        <v>171</v>
      </c>
      <c r="B247" s="103">
        <v>701</v>
      </c>
      <c r="C247" s="109" t="s">
        <v>232</v>
      </c>
      <c r="D247" s="109" t="s">
        <v>197</v>
      </c>
      <c r="E247" s="109" t="s">
        <v>221</v>
      </c>
      <c r="F247" s="109" t="s">
        <v>183</v>
      </c>
      <c r="G247" s="110">
        <f>'Приложение 4'!F246</f>
        <v>4236694.66</v>
      </c>
      <c r="H247" s="110">
        <f>'Приложение 4'!G246</f>
        <v>4008770</v>
      </c>
      <c r="I247" s="110">
        <f>'Приложение 4'!H246</f>
        <v>4008770</v>
      </c>
      <c r="J247" s="150"/>
    </row>
    <row r="248" spans="1:10" s="150" customFormat="1" x14ac:dyDescent="0.25">
      <c r="A248" s="82" t="s">
        <v>261</v>
      </c>
      <c r="B248" s="103">
        <v>701</v>
      </c>
      <c r="C248" s="107" t="s">
        <v>232</v>
      </c>
      <c r="D248" s="107" t="s">
        <v>207</v>
      </c>
      <c r="E248" s="107"/>
      <c r="F248" s="107"/>
      <c r="G248" s="108">
        <f>G249+G253+G259</f>
        <v>39422019.719999999</v>
      </c>
      <c r="H248" s="108">
        <f>H249+H253+H259</f>
        <v>41164945.140000001</v>
      </c>
      <c r="I248" s="108">
        <f>I249+I253+I259</f>
        <v>70240626.799999997</v>
      </c>
    </row>
    <row r="249" spans="1:10" s="150" customFormat="1" ht="47.25" x14ac:dyDescent="0.25">
      <c r="A249" s="79" t="s">
        <v>493</v>
      </c>
      <c r="B249" s="103">
        <v>701</v>
      </c>
      <c r="C249" s="107" t="s">
        <v>232</v>
      </c>
      <c r="D249" s="107" t="s">
        <v>207</v>
      </c>
      <c r="E249" s="142" t="s">
        <v>494</v>
      </c>
      <c r="F249" s="107"/>
      <c r="G249" s="108">
        <f>G250</f>
        <v>6000000</v>
      </c>
      <c r="H249" s="108">
        <f>H250</f>
        <v>6000000</v>
      </c>
      <c r="I249" s="108">
        <f>I250</f>
        <v>6000000</v>
      </c>
    </row>
    <row r="250" spans="1:10" s="151" customFormat="1" x14ac:dyDescent="0.25">
      <c r="A250" s="72" t="s">
        <v>478</v>
      </c>
      <c r="B250" s="103">
        <v>701</v>
      </c>
      <c r="C250" s="109" t="s">
        <v>232</v>
      </c>
      <c r="D250" s="109" t="s">
        <v>207</v>
      </c>
      <c r="E250" s="143" t="s">
        <v>495</v>
      </c>
      <c r="F250" s="109"/>
      <c r="G250" s="110">
        <f>SUM(G251:G252)</f>
        <v>6000000</v>
      </c>
      <c r="H250" s="110">
        <f>SUM(H251:H252)</f>
        <v>6000000</v>
      </c>
      <c r="I250" s="110">
        <f>SUM(I251:I252)</f>
        <v>6000000</v>
      </c>
    </row>
    <row r="251" spans="1:10" s="151" customFormat="1" ht="30.75" x14ac:dyDescent="0.25">
      <c r="A251" s="70" t="s">
        <v>170</v>
      </c>
      <c r="B251" s="103">
        <v>701</v>
      </c>
      <c r="C251" s="109" t="s">
        <v>232</v>
      </c>
      <c r="D251" s="109" t="s">
        <v>207</v>
      </c>
      <c r="E251" s="143" t="s">
        <v>495</v>
      </c>
      <c r="F251" s="109" t="s">
        <v>181</v>
      </c>
      <c r="G251" s="110">
        <f>'Приложение 4'!F250</f>
        <v>300000</v>
      </c>
      <c r="H251" s="110">
        <f>'Приложение 4'!G250</f>
        <v>300000</v>
      </c>
      <c r="I251" s="110">
        <f>'Приложение 4'!H250</f>
        <v>300000</v>
      </c>
    </row>
    <row r="252" spans="1:10" s="151" customFormat="1" ht="30.75" x14ac:dyDescent="0.25">
      <c r="A252" s="70" t="s">
        <v>173</v>
      </c>
      <c r="B252" s="103">
        <v>701</v>
      </c>
      <c r="C252" s="109" t="s">
        <v>232</v>
      </c>
      <c r="D252" s="109" t="s">
        <v>207</v>
      </c>
      <c r="E252" s="143" t="s">
        <v>495</v>
      </c>
      <c r="F252" s="109" t="s">
        <v>227</v>
      </c>
      <c r="G252" s="110">
        <f>'Приложение 4'!F251</f>
        <v>5700000</v>
      </c>
      <c r="H252" s="110">
        <f>'Приложение 4'!G251</f>
        <v>5700000</v>
      </c>
      <c r="I252" s="110">
        <f>'Приложение 4'!H251</f>
        <v>5700000</v>
      </c>
    </row>
    <row r="253" spans="1:10" s="151" customFormat="1" ht="47.25" x14ac:dyDescent="0.25">
      <c r="A253" s="82" t="s">
        <v>184</v>
      </c>
      <c r="B253" s="103">
        <v>701</v>
      </c>
      <c r="C253" s="107" t="s">
        <v>232</v>
      </c>
      <c r="D253" s="107" t="s">
        <v>207</v>
      </c>
      <c r="E253" s="107" t="s">
        <v>501</v>
      </c>
      <c r="F253" s="107"/>
      <c r="G253" s="108">
        <f>G254+G257</f>
        <v>22346147.949999999</v>
      </c>
      <c r="H253" s="108">
        <f>H254+H257</f>
        <v>23273307.120000001</v>
      </c>
      <c r="I253" s="108">
        <f>I254+I257</f>
        <v>22073307.120000001</v>
      </c>
    </row>
    <row r="254" spans="1:10" s="151" customFormat="1" ht="15" x14ac:dyDescent="0.2">
      <c r="A254" s="72" t="s">
        <v>478</v>
      </c>
      <c r="B254" s="100">
        <v>701</v>
      </c>
      <c r="C254" s="109" t="s">
        <v>232</v>
      </c>
      <c r="D254" s="109" t="s">
        <v>207</v>
      </c>
      <c r="E254" s="109" t="s">
        <v>502</v>
      </c>
      <c r="F254" s="109"/>
      <c r="G254" s="110">
        <f>SUM(G255:G256)</f>
        <v>19346147.949999999</v>
      </c>
      <c r="H254" s="110">
        <f>SUM(H255:H256)</f>
        <v>20273307.120000001</v>
      </c>
      <c r="I254" s="110">
        <f>SUM(I255:I256)</f>
        <v>19073307.120000001</v>
      </c>
    </row>
    <row r="255" spans="1:10" s="151" customFormat="1" ht="15" x14ac:dyDescent="0.2">
      <c r="A255" s="72" t="s">
        <v>171</v>
      </c>
      <c r="B255" s="100">
        <v>701</v>
      </c>
      <c r="C255" s="109" t="s">
        <v>232</v>
      </c>
      <c r="D255" s="109" t="s">
        <v>207</v>
      </c>
      <c r="E255" s="109" t="s">
        <v>502</v>
      </c>
      <c r="F255" s="109" t="s">
        <v>183</v>
      </c>
      <c r="G255" s="110">
        <f>'Приложение 4'!F254</f>
        <v>12300000</v>
      </c>
      <c r="H255" s="110">
        <f>'Приложение 4'!G254</f>
        <v>12300000</v>
      </c>
      <c r="I255" s="110">
        <f>'Приложение 4'!H254</f>
        <v>12300000</v>
      </c>
    </row>
    <row r="256" spans="1:10" s="151" customFormat="1" ht="30" x14ac:dyDescent="0.2">
      <c r="A256" s="72" t="s">
        <v>175</v>
      </c>
      <c r="B256" s="100">
        <v>701</v>
      </c>
      <c r="C256" s="109" t="s">
        <v>232</v>
      </c>
      <c r="D256" s="109" t="s">
        <v>207</v>
      </c>
      <c r="E256" s="109" t="s">
        <v>502</v>
      </c>
      <c r="F256" s="109" t="s">
        <v>185</v>
      </c>
      <c r="G256" s="110">
        <f>'Приложение 4'!F255</f>
        <v>7046147.9499999993</v>
      </c>
      <c r="H256" s="110">
        <f>'Приложение 4'!G255</f>
        <v>7973307.1200000001</v>
      </c>
      <c r="I256" s="110">
        <f>'Приложение 4'!H255</f>
        <v>6773307.1200000001</v>
      </c>
    </row>
    <row r="257" spans="1:9" s="151" customFormat="1" ht="15" x14ac:dyDescent="0.2">
      <c r="A257" s="72" t="s">
        <v>474</v>
      </c>
      <c r="B257" s="100">
        <v>701</v>
      </c>
      <c r="C257" s="109" t="s">
        <v>232</v>
      </c>
      <c r="D257" s="109" t="s">
        <v>207</v>
      </c>
      <c r="E257" s="109" t="s">
        <v>503</v>
      </c>
      <c r="F257" s="109"/>
      <c r="G257" s="110">
        <f>G258</f>
        <v>3000000</v>
      </c>
      <c r="H257" s="110">
        <f>H258</f>
        <v>3000000</v>
      </c>
      <c r="I257" s="110">
        <f>I258</f>
        <v>3000000</v>
      </c>
    </row>
    <row r="258" spans="1:9" s="152" customFormat="1" ht="15" x14ac:dyDescent="0.2">
      <c r="A258" s="72" t="s">
        <v>171</v>
      </c>
      <c r="B258" s="100">
        <v>701</v>
      </c>
      <c r="C258" s="109" t="s">
        <v>232</v>
      </c>
      <c r="D258" s="109" t="s">
        <v>207</v>
      </c>
      <c r="E258" s="109" t="s">
        <v>503</v>
      </c>
      <c r="F258" s="109" t="s">
        <v>183</v>
      </c>
      <c r="G258" s="110">
        <f>'Приложение 4'!F257</f>
        <v>3000000</v>
      </c>
      <c r="H258" s="110">
        <f>'Приложение 4'!G257</f>
        <v>3000000</v>
      </c>
      <c r="I258" s="110">
        <f>'Приложение 4'!H257</f>
        <v>3000000</v>
      </c>
    </row>
    <row r="259" spans="1:9" s="152" customFormat="1" x14ac:dyDescent="0.25">
      <c r="A259" s="82" t="s">
        <v>200</v>
      </c>
      <c r="B259" s="103">
        <v>701</v>
      </c>
      <c r="C259" s="107" t="s">
        <v>232</v>
      </c>
      <c r="D259" s="107" t="s">
        <v>207</v>
      </c>
      <c r="E259" s="107" t="s">
        <v>201</v>
      </c>
      <c r="F259" s="107"/>
      <c r="G259" s="108">
        <f t="shared" ref="G259:I260" si="28">G260</f>
        <v>11075871.770000003</v>
      </c>
      <c r="H259" s="108">
        <f t="shared" si="28"/>
        <v>11891638.02</v>
      </c>
      <c r="I259" s="108">
        <f t="shared" si="28"/>
        <v>42167319.68</v>
      </c>
    </row>
    <row r="260" spans="1:9" s="152" customFormat="1" x14ac:dyDescent="0.25">
      <c r="A260" s="72" t="s">
        <v>220</v>
      </c>
      <c r="B260" s="103">
        <v>701</v>
      </c>
      <c r="C260" s="109" t="s">
        <v>232</v>
      </c>
      <c r="D260" s="109" t="s">
        <v>207</v>
      </c>
      <c r="E260" s="109" t="s">
        <v>221</v>
      </c>
      <c r="F260" s="109"/>
      <c r="G260" s="110">
        <f t="shared" si="28"/>
        <v>11075871.770000003</v>
      </c>
      <c r="H260" s="110">
        <f t="shared" si="28"/>
        <v>11891638.02</v>
      </c>
      <c r="I260" s="110">
        <f t="shared" si="28"/>
        <v>42167319.68</v>
      </c>
    </row>
    <row r="261" spans="1:9" s="152" customFormat="1" ht="30.75" x14ac:dyDescent="0.25">
      <c r="A261" s="72" t="s">
        <v>175</v>
      </c>
      <c r="B261" s="103">
        <v>701</v>
      </c>
      <c r="C261" s="109" t="s">
        <v>232</v>
      </c>
      <c r="D261" s="109" t="s">
        <v>207</v>
      </c>
      <c r="E261" s="109" t="s">
        <v>221</v>
      </c>
      <c r="F261" s="109" t="s">
        <v>185</v>
      </c>
      <c r="G261" s="139">
        <f>'Приложение 4'!F260</f>
        <v>11075871.770000003</v>
      </c>
      <c r="H261" s="139">
        <f>'Приложение 4'!G260</f>
        <v>11891638.02</v>
      </c>
      <c r="I261" s="139">
        <f>'Приложение 4'!H260</f>
        <v>42167319.68</v>
      </c>
    </row>
    <row r="262" spans="1:9" s="152" customFormat="1" x14ac:dyDescent="0.25">
      <c r="A262" s="82" t="s">
        <v>264</v>
      </c>
      <c r="B262" s="103">
        <v>701</v>
      </c>
      <c r="C262" s="107" t="s">
        <v>232</v>
      </c>
      <c r="D262" s="107" t="s">
        <v>211</v>
      </c>
      <c r="E262" s="107"/>
      <c r="F262" s="107"/>
      <c r="G262" s="155">
        <f>G263+G267+G273+G276</f>
        <v>46655166.129999995</v>
      </c>
      <c r="H262" s="155">
        <f>H263+H267+H273+H276</f>
        <v>44596711.129999995</v>
      </c>
      <c r="I262" s="155">
        <f>I263+I267+I273+I276</f>
        <v>45796711.129999995</v>
      </c>
    </row>
    <row r="263" spans="1:9" s="153" customFormat="1" ht="47.25" x14ac:dyDescent="0.25">
      <c r="A263" s="79" t="s">
        <v>493</v>
      </c>
      <c r="B263" s="103">
        <v>701</v>
      </c>
      <c r="C263" s="107" t="s">
        <v>232</v>
      </c>
      <c r="D263" s="107" t="s">
        <v>211</v>
      </c>
      <c r="E263" s="142" t="s">
        <v>494</v>
      </c>
      <c r="F263" s="107"/>
      <c r="G263" s="155">
        <f>G264</f>
        <v>2613711.13</v>
      </c>
      <c r="H263" s="155">
        <f>H264</f>
        <v>2233711.13</v>
      </c>
      <c r="I263" s="155">
        <f>I264</f>
        <v>2233711.13</v>
      </c>
    </row>
    <row r="264" spans="1:9" s="153" customFormat="1" x14ac:dyDescent="0.25">
      <c r="A264" s="72" t="s">
        <v>478</v>
      </c>
      <c r="B264" s="103">
        <v>701</v>
      </c>
      <c r="C264" s="109" t="s">
        <v>232</v>
      </c>
      <c r="D264" s="109" t="s">
        <v>211</v>
      </c>
      <c r="E264" s="143" t="s">
        <v>495</v>
      </c>
      <c r="F264" s="109"/>
      <c r="G264" s="139">
        <f>SUM(G265:G266)</f>
        <v>2613711.13</v>
      </c>
      <c r="H264" s="139">
        <f>SUM(H265:H266)</f>
        <v>2233711.13</v>
      </c>
      <c r="I264" s="139">
        <f>SUM(I265:I266)</f>
        <v>2233711.13</v>
      </c>
    </row>
    <row r="265" spans="1:9" s="153" customFormat="1" ht="30.75" x14ac:dyDescent="0.25">
      <c r="A265" s="72" t="s">
        <v>170</v>
      </c>
      <c r="B265" s="103">
        <v>701</v>
      </c>
      <c r="C265" s="109" t="s">
        <v>232</v>
      </c>
      <c r="D265" s="109" t="s">
        <v>211</v>
      </c>
      <c r="E265" s="143" t="s">
        <v>495</v>
      </c>
      <c r="F265" s="109" t="s">
        <v>181</v>
      </c>
      <c r="G265" s="139">
        <f>'Приложение 4'!F264</f>
        <v>1738999.13</v>
      </c>
      <c r="H265" s="139">
        <f>'Приложение 4'!G264</f>
        <v>1358999.13</v>
      </c>
      <c r="I265" s="139">
        <f>'Приложение 4'!H264</f>
        <v>1358999.13</v>
      </c>
    </row>
    <row r="266" spans="1:9" s="153" customFormat="1" x14ac:dyDescent="0.25">
      <c r="A266" s="72" t="s">
        <v>171</v>
      </c>
      <c r="B266" s="103">
        <v>701</v>
      </c>
      <c r="C266" s="109" t="s">
        <v>232</v>
      </c>
      <c r="D266" s="109" t="s">
        <v>211</v>
      </c>
      <c r="E266" s="143" t="s">
        <v>495</v>
      </c>
      <c r="F266" s="109" t="s">
        <v>183</v>
      </c>
      <c r="G266" s="139">
        <f>'Приложение 4'!F265</f>
        <v>874712</v>
      </c>
      <c r="H266" s="139">
        <f>'Приложение 4'!G265</f>
        <v>874712</v>
      </c>
      <c r="I266" s="139">
        <f>'Приложение 4'!H265</f>
        <v>874712</v>
      </c>
    </row>
    <row r="267" spans="1:9" s="153" customFormat="1" x14ac:dyDescent="0.25">
      <c r="A267" s="82" t="s">
        <v>182</v>
      </c>
      <c r="B267" s="103">
        <v>701</v>
      </c>
      <c r="C267" s="107" t="s">
        <v>232</v>
      </c>
      <c r="D267" s="107" t="s">
        <v>211</v>
      </c>
      <c r="E267" s="107" t="s">
        <v>498</v>
      </c>
      <c r="F267" s="107"/>
      <c r="G267" s="155">
        <f>G268+G271</f>
        <v>2075855</v>
      </c>
      <c r="H267" s="155">
        <f>H268+H271</f>
        <v>2063000</v>
      </c>
      <c r="I267" s="155">
        <f>I268+I271</f>
        <v>2063000</v>
      </c>
    </row>
    <row r="268" spans="1:9" s="153" customFormat="1" ht="15" x14ac:dyDescent="0.2">
      <c r="A268" s="72" t="s">
        <v>478</v>
      </c>
      <c r="B268" s="100">
        <v>701</v>
      </c>
      <c r="C268" s="109" t="s">
        <v>232</v>
      </c>
      <c r="D268" s="109" t="s">
        <v>211</v>
      </c>
      <c r="E268" s="109" t="s">
        <v>500</v>
      </c>
      <c r="F268" s="109"/>
      <c r="G268" s="139">
        <f>SUM(G269:G270)</f>
        <v>638717</v>
      </c>
      <c r="H268" s="139">
        <f>SUM(H269:H270)</f>
        <v>794000</v>
      </c>
      <c r="I268" s="139">
        <f>SUM(I269:I270)</f>
        <v>794000</v>
      </c>
    </row>
    <row r="269" spans="1:9" s="153" customFormat="1" ht="30" x14ac:dyDescent="0.2">
      <c r="A269" s="72" t="s">
        <v>170</v>
      </c>
      <c r="B269" s="100">
        <v>701</v>
      </c>
      <c r="C269" s="109" t="s">
        <v>232</v>
      </c>
      <c r="D269" s="109" t="s">
        <v>211</v>
      </c>
      <c r="E269" s="109" t="s">
        <v>500</v>
      </c>
      <c r="F269" s="109" t="s">
        <v>181</v>
      </c>
      <c r="G269" s="139">
        <f>'Приложение 4'!F268</f>
        <v>194000</v>
      </c>
      <c r="H269" s="139">
        <f>'Приложение 4'!G268</f>
        <v>194000</v>
      </c>
      <c r="I269" s="139">
        <f>'Приложение 4'!H268</f>
        <v>194000</v>
      </c>
    </row>
    <row r="270" spans="1:9" s="153" customFormat="1" ht="15" x14ac:dyDescent="0.2">
      <c r="A270" s="72" t="s">
        <v>171</v>
      </c>
      <c r="B270" s="100">
        <v>701</v>
      </c>
      <c r="C270" s="109" t="s">
        <v>232</v>
      </c>
      <c r="D270" s="109" t="s">
        <v>211</v>
      </c>
      <c r="E270" s="109" t="s">
        <v>500</v>
      </c>
      <c r="F270" s="109" t="s">
        <v>183</v>
      </c>
      <c r="G270" s="139">
        <f>'Приложение 4'!F269</f>
        <v>444717</v>
      </c>
      <c r="H270" s="139">
        <f>'Приложение 4'!G269</f>
        <v>600000</v>
      </c>
      <c r="I270" s="139">
        <f>'Приложение 4'!H269</f>
        <v>600000</v>
      </c>
    </row>
    <row r="271" spans="1:9" s="153" customFormat="1" ht="15" x14ac:dyDescent="0.2">
      <c r="A271" s="72" t="s">
        <v>474</v>
      </c>
      <c r="B271" s="100">
        <v>701</v>
      </c>
      <c r="C271" s="109" t="s">
        <v>232</v>
      </c>
      <c r="D271" s="109" t="s">
        <v>211</v>
      </c>
      <c r="E271" s="109" t="s">
        <v>499</v>
      </c>
      <c r="F271" s="109"/>
      <c r="G271" s="139">
        <f>G272</f>
        <v>1437138</v>
      </c>
      <c r="H271" s="139">
        <f>H272</f>
        <v>1269000</v>
      </c>
      <c r="I271" s="139">
        <f>I272</f>
        <v>1269000</v>
      </c>
    </row>
    <row r="272" spans="1:9" s="152" customFormat="1" ht="15" x14ac:dyDescent="0.2">
      <c r="A272" s="72" t="s">
        <v>171</v>
      </c>
      <c r="B272" s="100">
        <v>701</v>
      </c>
      <c r="C272" s="109" t="s">
        <v>232</v>
      </c>
      <c r="D272" s="109" t="s">
        <v>211</v>
      </c>
      <c r="E272" s="109" t="s">
        <v>499</v>
      </c>
      <c r="F272" s="109" t="s">
        <v>183</v>
      </c>
      <c r="G272" s="110">
        <f>'Приложение 4'!F271</f>
        <v>1437138</v>
      </c>
      <c r="H272" s="110">
        <f>'Приложение 4'!G271</f>
        <v>1269000</v>
      </c>
      <c r="I272" s="110">
        <f>'Приложение 4'!H271</f>
        <v>1269000</v>
      </c>
    </row>
    <row r="273" spans="1:9" s="152" customFormat="1" ht="47.25" x14ac:dyDescent="0.25">
      <c r="A273" s="82" t="s">
        <v>184</v>
      </c>
      <c r="B273" s="103">
        <v>701</v>
      </c>
      <c r="C273" s="107" t="s">
        <v>232</v>
      </c>
      <c r="D273" s="107" t="s">
        <v>211</v>
      </c>
      <c r="E273" s="107" t="s">
        <v>501</v>
      </c>
      <c r="F273" s="107"/>
      <c r="G273" s="108">
        <f t="shared" ref="G273:I274" si="29">G274</f>
        <v>25800000</v>
      </c>
      <c r="H273" s="108">
        <f t="shared" si="29"/>
        <v>26800000</v>
      </c>
      <c r="I273" s="108">
        <f t="shared" si="29"/>
        <v>28000000</v>
      </c>
    </row>
    <row r="274" spans="1:9" s="153" customFormat="1" x14ac:dyDescent="0.25">
      <c r="A274" s="72" t="s">
        <v>478</v>
      </c>
      <c r="B274" s="103">
        <v>701</v>
      </c>
      <c r="C274" s="109" t="s">
        <v>232</v>
      </c>
      <c r="D274" s="109" t="s">
        <v>211</v>
      </c>
      <c r="E274" s="109" t="s">
        <v>502</v>
      </c>
      <c r="F274" s="109"/>
      <c r="G274" s="110">
        <f t="shared" si="29"/>
        <v>25800000</v>
      </c>
      <c r="H274" s="110">
        <f t="shared" si="29"/>
        <v>26800000</v>
      </c>
      <c r="I274" s="110">
        <f t="shared" si="29"/>
        <v>28000000</v>
      </c>
    </row>
    <row r="275" spans="1:9" s="153" customFormat="1" x14ac:dyDescent="0.25">
      <c r="A275" s="72" t="s">
        <v>171</v>
      </c>
      <c r="B275" s="103">
        <v>701</v>
      </c>
      <c r="C275" s="109" t="s">
        <v>232</v>
      </c>
      <c r="D275" s="109" t="s">
        <v>211</v>
      </c>
      <c r="E275" s="109" t="s">
        <v>502</v>
      </c>
      <c r="F275" s="109" t="s">
        <v>183</v>
      </c>
      <c r="G275" s="110">
        <f>'Приложение 4'!F274</f>
        <v>25800000</v>
      </c>
      <c r="H275" s="110">
        <f>'Приложение 4'!G274</f>
        <v>26800000</v>
      </c>
      <c r="I275" s="110">
        <f>'Приложение 4'!H274</f>
        <v>28000000</v>
      </c>
    </row>
    <row r="276" spans="1:9" s="152" customFormat="1" x14ac:dyDescent="0.25">
      <c r="A276" s="82" t="s">
        <v>200</v>
      </c>
      <c r="B276" s="103">
        <v>701</v>
      </c>
      <c r="C276" s="107" t="s">
        <v>232</v>
      </c>
      <c r="D276" s="107" t="s">
        <v>211</v>
      </c>
      <c r="E276" s="107" t="s">
        <v>201</v>
      </c>
      <c r="F276" s="107"/>
      <c r="G276" s="108">
        <f>G277</f>
        <v>16165600</v>
      </c>
      <c r="H276" s="108">
        <f>H277</f>
        <v>13500000</v>
      </c>
      <c r="I276" s="108">
        <f>I277</f>
        <v>13500000</v>
      </c>
    </row>
    <row r="277" spans="1:9" s="153" customFormat="1" x14ac:dyDescent="0.25">
      <c r="A277" s="72" t="s">
        <v>220</v>
      </c>
      <c r="B277" s="103">
        <v>701</v>
      </c>
      <c r="C277" s="109" t="s">
        <v>232</v>
      </c>
      <c r="D277" s="109" t="s">
        <v>211</v>
      </c>
      <c r="E277" s="109" t="s">
        <v>221</v>
      </c>
      <c r="F277" s="109"/>
      <c r="G277" s="110">
        <f>SUM(G278:G280)</f>
        <v>16165600</v>
      </c>
      <c r="H277" s="110">
        <f>SUM(H278:H280)</f>
        <v>13500000</v>
      </c>
      <c r="I277" s="110">
        <f>SUM(I278:I280)</f>
        <v>13500000</v>
      </c>
    </row>
    <row r="278" spans="1:9" s="153" customFormat="1" ht="30.75" x14ac:dyDescent="0.25">
      <c r="A278" s="72" t="s">
        <v>170</v>
      </c>
      <c r="B278" s="103">
        <v>701</v>
      </c>
      <c r="C278" s="109" t="s">
        <v>232</v>
      </c>
      <c r="D278" s="109" t="s">
        <v>211</v>
      </c>
      <c r="E278" s="109" t="s">
        <v>221</v>
      </c>
      <c r="F278" s="109" t="s">
        <v>181</v>
      </c>
      <c r="G278" s="110">
        <f>'Приложение 4'!F277</f>
        <v>197734</v>
      </c>
      <c r="H278" s="110">
        <f>'Приложение 4'!G277</f>
        <v>197734</v>
      </c>
      <c r="I278" s="110">
        <f>'Приложение 4'!H277</f>
        <v>197734</v>
      </c>
    </row>
    <row r="279" spans="1:9" s="153" customFormat="1" x14ac:dyDescent="0.25">
      <c r="A279" s="72" t="s">
        <v>171</v>
      </c>
      <c r="B279" s="103">
        <v>701</v>
      </c>
      <c r="C279" s="109" t="s">
        <v>232</v>
      </c>
      <c r="D279" s="109" t="s">
        <v>211</v>
      </c>
      <c r="E279" s="109" t="s">
        <v>221</v>
      </c>
      <c r="F279" s="109" t="s">
        <v>183</v>
      </c>
      <c r="G279" s="110">
        <f>'Приложение 4'!F278</f>
        <v>13302266</v>
      </c>
      <c r="H279" s="110">
        <f>'Приложение 4'!G278</f>
        <v>13302266</v>
      </c>
      <c r="I279" s="110">
        <f>'Приложение 4'!H278</f>
        <v>13302266</v>
      </c>
    </row>
    <row r="280" spans="1:9" s="153" customFormat="1" ht="30.75" x14ac:dyDescent="0.25">
      <c r="A280" s="72" t="s">
        <v>175</v>
      </c>
      <c r="B280" s="103">
        <v>701</v>
      </c>
      <c r="C280" s="109" t="s">
        <v>232</v>
      </c>
      <c r="D280" s="109" t="s">
        <v>211</v>
      </c>
      <c r="E280" s="109" t="s">
        <v>221</v>
      </c>
      <c r="F280" s="109" t="s">
        <v>185</v>
      </c>
      <c r="G280" s="110">
        <f>'Приложение 4'!F279</f>
        <v>2665600</v>
      </c>
      <c r="H280" s="110">
        <f>'Приложение 4'!G279</f>
        <v>0</v>
      </c>
      <c r="I280" s="110">
        <f>'Приложение 4'!H279</f>
        <v>0</v>
      </c>
    </row>
    <row r="281" spans="1:9" s="153" customFormat="1" x14ac:dyDescent="0.25">
      <c r="A281" s="82" t="s">
        <v>265</v>
      </c>
      <c r="B281" s="103">
        <v>701</v>
      </c>
      <c r="C281" s="107" t="s">
        <v>232</v>
      </c>
      <c r="D281" s="107" t="s">
        <v>215</v>
      </c>
      <c r="E281" s="107"/>
      <c r="F281" s="107"/>
      <c r="G281" s="155">
        <f>G282+G287+G295</f>
        <v>23460800.890000001</v>
      </c>
      <c r="H281" s="155">
        <f>H282+H287+H295</f>
        <v>11417940.77</v>
      </c>
      <c r="I281" s="155">
        <f>I282+I287+I295</f>
        <v>12207088.379999999</v>
      </c>
    </row>
    <row r="282" spans="1:9" s="153" customFormat="1" ht="31.5" x14ac:dyDescent="0.25">
      <c r="A282" s="82" t="s">
        <v>293</v>
      </c>
      <c r="B282" s="103">
        <v>701</v>
      </c>
      <c r="C282" s="107" t="s">
        <v>232</v>
      </c>
      <c r="D282" s="107" t="s">
        <v>215</v>
      </c>
      <c r="E282" s="107" t="s">
        <v>479</v>
      </c>
      <c r="F282" s="107"/>
      <c r="G282" s="155">
        <f>G283</f>
        <v>3279050</v>
      </c>
      <c r="H282" s="155">
        <f>H283</f>
        <v>2995900</v>
      </c>
      <c r="I282" s="155">
        <f>I283</f>
        <v>2995900</v>
      </c>
    </row>
    <row r="283" spans="1:9" s="153" customFormat="1" x14ac:dyDescent="0.25">
      <c r="A283" s="158" t="s">
        <v>478</v>
      </c>
      <c r="B283" s="103">
        <v>701</v>
      </c>
      <c r="C283" s="109" t="s">
        <v>232</v>
      </c>
      <c r="D283" s="109" t="s">
        <v>215</v>
      </c>
      <c r="E283" s="109" t="s">
        <v>480</v>
      </c>
      <c r="F283" s="109"/>
      <c r="G283" s="139">
        <f>SUM(G284:G286)</f>
        <v>3279050</v>
      </c>
      <c r="H283" s="139">
        <f>SUM(H284:H286)</f>
        <v>2995900</v>
      </c>
      <c r="I283" s="139">
        <f>SUM(I284:I286)</f>
        <v>2995900</v>
      </c>
    </row>
    <row r="284" spans="1:9" s="153" customFormat="1" ht="75" x14ac:dyDescent="0.2">
      <c r="A284" s="159" t="s">
        <v>169</v>
      </c>
      <c r="B284" s="100">
        <v>701</v>
      </c>
      <c r="C284" s="109" t="s">
        <v>232</v>
      </c>
      <c r="D284" s="109" t="s">
        <v>215</v>
      </c>
      <c r="E284" s="109" t="s">
        <v>480</v>
      </c>
      <c r="F284" s="109" t="s">
        <v>178</v>
      </c>
      <c r="G284" s="139">
        <f>'Приложение 4'!F283</f>
        <v>592580</v>
      </c>
      <c r="H284" s="139">
        <f>'Приложение 4'!G283</f>
        <v>272580</v>
      </c>
      <c r="I284" s="139">
        <f>'Приложение 4'!H283</f>
        <v>272580</v>
      </c>
    </row>
    <row r="285" spans="1:9" s="153" customFormat="1" ht="30" x14ac:dyDescent="0.2">
      <c r="A285" s="72" t="s">
        <v>170</v>
      </c>
      <c r="B285" s="100">
        <v>701</v>
      </c>
      <c r="C285" s="109" t="s">
        <v>232</v>
      </c>
      <c r="D285" s="109" t="s">
        <v>215</v>
      </c>
      <c r="E285" s="109" t="s">
        <v>480</v>
      </c>
      <c r="F285" s="109" t="s">
        <v>181</v>
      </c>
      <c r="G285" s="139">
        <f>'Приложение 4'!F284</f>
        <v>1552074.62</v>
      </c>
      <c r="H285" s="139">
        <f>'Приложение 4'!G284</f>
        <v>1268924.6200000001</v>
      </c>
      <c r="I285" s="139">
        <f>'Приложение 4'!H284</f>
        <v>1268924.6200000001</v>
      </c>
    </row>
    <row r="286" spans="1:9" s="153" customFormat="1" ht="15" x14ac:dyDescent="0.2">
      <c r="A286" s="72" t="s">
        <v>171</v>
      </c>
      <c r="B286" s="100">
        <v>701</v>
      </c>
      <c r="C286" s="109" t="s">
        <v>232</v>
      </c>
      <c r="D286" s="109" t="s">
        <v>215</v>
      </c>
      <c r="E286" s="109" t="s">
        <v>480</v>
      </c>
      <c r="F286" s="109" t="s">
        <v>183</v>
      </c>
      <c r="G286" s="139">
        <f>'Приложение 4'!F285</f>
        <v>1134395.3799999999</v>
      </c>
      <c r="H286" s="139">
        <f>'Приложение 4'!G285</f>
        <v>1454395.38</v>
      </c>
      <c r="I286" s="139">
        <f>'Приложение 4'!H285</f>
        <v>1454395.38</v>
      </c>
    </row>
    <row r="287" spans="1:9" s="153" customFormat="1" x14ac:dyDescent="0.25">
      <c r="A287" s="82" t="s">
        <v>182</v>
      </c>
      <c r="B287" s="100">
        <v>701</v>
      </c>
      <c r="C287" s="109" t="s">
        <v>232</v>
      </c>
      <c r="D287" s="107" t="s">
        <v>215</v>
      </c>
      <c r="E287" s="107" t="s">
        <v>498</v>
      </c>
      <c r="F287" s="107"/>
      <c r="G287" s="155">
        <f>G288+G293</f>
        <v>3188701</v>
      </c>
      <c r="H287" s="155">
        <f>H288+H293</f>
        <v>3378195.83</v>
      </c>
      <c r="I287" s="155">
        <f>I288+I293</f>
        <v>4167343.44</v>
      </c>
    </row>
    <row r="288" spans="1:9" s="153" customFormat="1" ht="15" x14ac:dyDescent="0.2">
      <c r="A288" s="72" t="s">
        <v>478</v>
      </c>
      <c r="B288" s="100">
        <v>701</v>
      </c>
      <c r="C288" s="109" t="s">
        <v>232</v>
      </c>
      <c r="D288" s="109" t="s">
        <v>215</v>
      </c>
      <c r="E288" s="109" t="s">
        <v>500</v>
      </c>
      <c r="F288" s="109"/>
      <c r="G288" s="139">
        <f>SUM(G289:G292)</f>
        <v>772701</v>
      </c>
      <c r="H288" s="139">
        <f>SUM(H289:H292)</f>
        <v>998195.83</v>
      </c>
      <c r="I288" s="139">
        <f>SUM(I289:I292)</f>
        <v>1787343.44</v>
      </c>
    </row>
    <row r="289" spans="1:9" s="152" customFormat="1" ht="75" x14ac:dyDescent="0.2">
      <c r="A289" s="72" t="s">
        <v>169</v>
      </c>
      <c r="B289" s="100">
        <v>701</v>
      </c>
      <c r="C289" s="109" t="s">
        <v>232</v>
      </c>
      <c r="D289" s="109" t="s">
        <v>215</v>
      </c>
      <c r="E289" s="109" t="s">
        <v>500</v>
      </c>
      <c r="F289" s="109" t="s">
        <v>178</v>
      </c>
      <c r="G289" s="139">
        <f>'Приложение 4'!F288</f>
        <v>0</v>
      </c>
      <c r="H289" s="139">
        <f>'Приложение 4'!G288</f>
        <v>0</v>
      </c>
      <c r="I289" s="139">
        <f>'Приложение 4'!H288</f>
        <v>218117.49</v>
      </c>
    </row>
    <row r="290" spans="1:9" s="153" customFormat="1" ht="30" x14ac:dyDescent="0.2">
      <c r="A290" s="72" t="s">
        <v>170</v>
      </c>
      <c r="B290" s="100">
        <v>701</v>
      </c>
      <c r="C290" s="109" t="s">
        <v>232</v>
      </c>
      <c r="D290" s="109" t="s">
        <v>215</v>
      </c>
      <c r="E290" s="109" t="s">
        <v>500</v>
      </c>
      <c r="F290" s="109" t="s">
        <v>181</v>
      </c>
      <c r="G290" s="139">
        <f>'Приложение 4'!F289</f>
        <v>602701</v>
      </c>
      <c r="H290" s="139">
        <f>'Приложение 4'!G289</f>
        <v>998195.83</v>
      </c>
      <c r="I290" s="139">
        <f>'Приложение 4'!H289</f>
        <v>1569225.95</v>
      </c>
    </row>
    <row r="291" spans="1:9" s="153" customFormat="1" ht="15" x14ac:dyDescent="0.2">
      <c r="A291" s="72" t="s">
        <v>171</v>
      </c>
      <c r="B291" s="100">
        <v>701</v>
      </c>
      <c r="C291" s="109" t="s">
        <v>232</v>
      </c>
      <c r="D291" s="109" t="s">
        <v>215</v>
      </c>
      <c r="E291" s="109" t="s">
        <v>500</v>
      </c>
      <c r="F291" s="109" t="s">
        <v>183</v>
      </c>
      <c r="G291" s="139">
        <f>'Приложение 4'!F290</f>
        <v>80000</v>
      </c>
      <c r="H291" s="139">
        <f>'Приложение 4'!G290</f>
        <v>0</v>
      </c>
      <c r="I291" s="139">
        <f>'Приложение 4'!H290</f>
        <v>0</v>
      </c>
    </row>
    <row r="292" spans="1:9" s="153" customFormat="1" ht="15" x14ac:dyDescent="0.2">
      <c r="A292" s="72" t="s">
        <v>172</v>
      </c>
      <c r="B292" s="100">
        <v>701</v>
      </c>
      <c r="C292" s="109" t="s">
        <v>232</v>
      </c>
      <c r="D292" s="109" t="s">
        <v>215</v>
      </c>
      <c r="E292" s="109" t="s">
        <v>500</v>
      </c>
      <c r="F292" s="109" t="s">
        <v>179</v>
      </c>
      <c r="G292" s="139">
        <f>'Приложение 4'!F291</f>
        <v>90000</v>
      </c>
      <c r="H292" s="139">
        <f>'Приложение 4'!G291</f>
        <v>0</v>
      </c>
      <c r="I292" s="139">
        <f>'Приложение 4'!H291</f>
        <v>0</v>
      </c>
    </row>
    <row r="293" spans="1:9" s="153" customFormat="1" ht="15" x14ac:dyDescent="0.2">
      <c r="A293" s="72" t="s">
        <v>474</v>
      </c>
      <c r="B293" s="100">
        <v>701</v>
      </c>
      <c r="C293" s="109" t="s">
        <v>232</v>
      </c>
      <c r="D293" s="109" t="s">
        <v>215</v>
      </c>
      <c r="E293" s="109" t="s">
        <v>499</v>
      </c>
      <c r="F293" s="109"/>
      <c r="G293" s="139">
        <f>G294</f>
        <v>2416000</v>
      </c>
      <c r="H293" s="139">
        <f>H294</f>
        <v>2380000</v>
      </c>
      <c r="I293" s="139">
        <f>I294</f>
        <v>2380000</v>
      </c>
    </row>
    <row r="294" spans="1:9" s="153" customFormat="1" ht="15" x14ac:dyDescent="0.2">
      <c r="A294" s="72" t="s">
        <v>171</v>
      </c>
      <c r="B294" s="100">
        <v>701</v>
      </c>
      <c r="C294" s="109" t="s">
        <v>232</v>
      </c>
      <c r="D294" s="109" t="s">
        <v>215</v>
      </c>
      <c r="E294" s="109" t="s">
        <v>499</v>
      </c>
      <c r="F294" s="109" t="s">
        <v>183</v>
      </c>
      <c r="G294" s="139">
        <f>'Приложение 4'!F293</f>
        <v>2416000</v>
      </c>
      <c r="H294" s="139">
        <f>'Приложение 4'!G293</f>
        <v>2380000</v>
      </c>
      <c r="I294" s="139">
        <f>'Приложение 4'!H293</f>
        <v>2380000</v>
      </c>
    </row>
    <row r="295" spans="1:9" s="152" customFormat="1" x14ac:dyDescent="0.25">
      <c r="A295" s="82" t="s">
        <v>200</v>
      </c>
      <c r="B295" s="103">
        <v>701</v>
      </c>
      <c r="C295" s="107" t="s">
        <v>232</v>
      </c>
      <c r="D295" s="107" t="s">
        <v>215</v>
      </c>
      <c r="E295" s="107" t="s">
        <v>201</v>
      </c>
      <c r="F295" s="109"/>
      <c r="G295" s="155">
        <f>G296+G298</f>
        <v>16993049.890000001</v>
      </c>
      <c r="H295" s="155">
        <f>H296+H298</f>
        <v>5043844.9399999995</v>
      </c>
      <c r="I295" s="155">
        <f>I296+I298</f>
        <v>5043844.9399999995</v>
      </c>
    </row>
    <row r="296" spans="1:9" s="153" customFormat="1" ht="30.75" x14ac:dyDescent="0.25">
      <c r="A296" s="72" t="s">
        <v>202</v>
      </c>
      <c r="B296" s="103">
        <v>701</v>
      </c>
      <c r="C296" s="109" t="s">
        <v>232</v>
      </c>
      <c r="D296" s="109" t="s">
        <v>215</v>
      </c>
      <c r="E296" s="109" t="s">
        <v>203</v>
      </c>
      <c r="F296" s="109"/>
      <c r="G296" s="139">
        <f>G297</f>
        <v>3630536.94</v>
      </c>
      <c r="H296" s="139">
        <f>H297</f>
        <v>3630536.94</v>
      </c>
      <c r="I296" s="139">
        <f>I297</f>
        <v>3630536.94</v>
      </c>
    </row>
    <row r="297" spans="1:9" s="153" customFormat="1" ht="75.75" x14ac:dyDescent="0.25">
      <c r="A297" s="72" t="s">
        <v>169</v>
      </c>
      <c r="B297" s="103">
        <v>701</v>
      </c>
      <c r="C297" s="109" t="s">
        <v>232</v>
      </c>
      <c r="D297" s="109" t="s">
        <v>215</v>
      </c>
      <c r="E297" s="109" t="s">
        <v>203</v>
      </c>
      <c r="F297" s="109" t="s">
        <v>178</v>
      </c>
      <c r="G297" s="139">
        <f>'Приложение 4'!F296</f>
        <v>3630536.94</v>
      </c>
      <c r="H297" s="139">
        <f>'Приложение 4'!G296</f>
        <v>3630536.94</v>
      </c>
      <c r="I297" s="139">
        <f>'Приложение 4'!H296</f>
        <v>3630536.94</v>
      </c>
    </row>
    <row r="298" spans="1:9" s="152" customFormat="1" x14ac:dyDescent="0.25">
      <c r="A298" s="72" t="s">
        <v>220</v>
      </c>
      <c r="B298" s="103">
        <v>701</v>
      </c>
      <c r="C298" s="109" t="s">
        <v>232</v>
      </c>
      <c r="D298" s="109" t="s">
        <v>215</v>
      </c>
      <c r="E298" s="109" t="s">
        <v>221</v>
      </c>
      <c r="F298" s="109"/>
      <c r="G298" s="110">
        <f>G299</f>
        <v>13362512.949999999</v>
      </c>
      <c r="H298" s="110">
        <f>H299</f>
        <v>1413308</v>
      </c>
      <c r="I298" s="110">
        <f>I299</f>
        <v>1413308</v>
      </c>
    </row>
    <row r="299" spans="1:9" s="153" customFormat="1" x14ac:dyDescent="0.25">
      <c r="A299" s="72" t="s">
        <v>171</v>
      </c>
      <c r="B299" s="103">
        <v>701</v>
      </c>
      <c r="C299" s="109" t="s">
        <v>232</v>
      </c>
      <c r="D299" s="109" t="s">
        <v>215</v>
      </c>
      <c r="E299" s="109" t="s">
        <v>221</v>
      </c>
      <c r="F299" s="109" t="s">
        <v>183</v>
      </c>
      <c r="G299" s="110">
        <f>'Приложение 4'!F298</f>
        <v>13362512.949999999</v>
      </c>
      <c r="H299" s="110">
        <f>'Приложение 4'!G298</f>
        <v>1413308</v>
      </c>
      <c r="I299" s="110">
        <f>'Приложение 4'!H298</f>
        <v>1413308</v>
      </c>
    </row>
    <row r="300" spans="1:9" s="153" customFormat="1" x14ac:dyDescent="0.25">
      <c r="A300" s="82" t="s">
        <v>266</v>
      </c>
      <c r="B300" s="103">
        <v>701</v>
      </c>
      <c r="C300" s="107" t="s">
        <v>219</v>
      </c>
      <c r="D300" s="107"/>
      <c r="E300" s="107"/>
      <c r="F300" s="107"/>
      <c r="G300" s="108">
        <f>G301+G315</f>
        <v>151947309.10999998</v>
      </c>
      <c r="H300" s="108">
        <f>H301+H315</f>
        <v>143956490.74000001</v>
      </c>
      <c r="I300" s="108">
        <f>I301+I315</f>
        <v>143956490.74000001</v>
      </c>
    </row>
    <row r="301" spans="1:9" s="152" customFormat="1" x14ac:dyDescent="0.25">
      <c r="A301" s="82" t="s">
        <v>267</v>
      </c>
      <c r="B301" s="103">
        <v>701</v>
      </c>
      <c r="C301" s="107" t="s">
        <v>219</v>
      </c>
      <c r="D301" s="107" t="s">
        <v>197</v>
      </c>
      <c r="E301" s="107"/>
      <c r="F301" s="107"/>
      <c r="G301" s="113">
        <f>G302+G311</f>
        <v>145566722.89999998</v>
      </c>
      <c r="H301" s="113">
        <f>H302+H311</f>
        <v>135956490.74000001</v>
      </c>
      <c r="I301" s="113">
        <f>I302+I311</f>
        <v>135956490.74000001</v>
      </c>
    </row>
    <row r="302" spans="1:9" s="156" customFormat="1" ht="31.5" x14ac:dyDescent="0.25">
      <c r="A302" s="82" t="s">
        <v>188</v>
      </c>
      <c r="B302" s="103">
        <v>701</v>
      </c>
      <c r="C302" s="107" t="s">
        <v>219</v>
      </c>
      <c r="D302" s="107" t="s">
        <v>197</v>
      </c>
      <c r="E302" s="107" t="s">
        <v>481</v>
      </c>
      <c r="F302" s="107"/>
      <c r="G302" s="111">
        <f>G303+G306</f>
        <v>142106085.22999999</v>
      </c>
      <c r="H302" s="111">
        <f>H303+H306</f>
        <v>135956490.74000001</v>
      </c>
      <c r="I302" s="111">
        <f>I303+I306</f>
        <v>135956490.74000001</v>
      </c>
    </row>
    <row r="303" spans="1:9" s="152" customFormat="1" x14ac:dyDescent="0.25">
      <c r="A303" s="72" t="s">
        <v>478</v>
      </c>
      <c r="B303" s="103">
        <v>701</v>
      </c>
      <c r="C303" s="109" t="s">
        <v>219</v>
      </c>
      <c r="D303" s="109" t="s">
        <v>197</v>
      </c>
      <c r="E303" s="109" t="s">
        <v>482</v>
      </c>
      <c r="F303" s="109"/>
      <c r="G303" s="111">
        <f>SUM(G304:G305)</f>
        <v>8809518.9600000009</v>
      </c>
      <c r="H303" s="111">
        <f>SUM(H304:H305)</f>
        <v>8000000</v>
      </c>
      <c r="I303" s="111">
        <f>SUM(I304:I305)</f>
        <v>8000000</v>
      </c>
    </row>
    <row r="304" spans="1:9" s="152" customFormat="1" ht="75" x14ac:dyDescent="0.2">
      <c r="A304" s="72" t="s">
        <v>169</v>
      </c>
      <c r="B304" s="100">
        <v>701</v>
      </c>
      <c r="C304" s="109" t="s">
        <v>219</v>
      </c>
      <c r="D304" s="109" t="s">
        <v>197</v>
      </c>
      <c r="E304" s="109" t="s">
        <v>482</v>
      </c>
      <c r="F304" s="109" t="s">
        <v>178</v>
      </c>
      <c r="G304" s="111">
        <f>'Приложение 4'!F303</f>
        <v>271920.49</v>
      </c>
      <c r="H304" s="111">
        <f>'Приложение 4'!G303</f>
        <v>350000</v>
      </c>
      <c r="I304" s="111">
        <f>'Приложение 4'!H303</f>
        <v>350000</v>
      </c>
    </row>
    <row r="305" spans="1:9" s="152" customFormat="1" ht="30" x14ac:dyDescent="0.2">
      <c r="A305" s="72" t="s">
        <v>170</v>
      </c>
      <c r="B305" s="100">
        <v>701</v>
      </c>
      <c r="C305" s="109" t="s">
        <v>219</v>
      </c>
      <c r="D305" s="109" t="s">
        <v>197</v>
      </c>
      <c r="E305" s="109" t="s">
        <v>482</v>
      </c>
      <c r="F305" s="109" t="s">
        <v>181</v>
      </c>
      <c r="G305" s="111">
        <f>'Приложение 4'!F304</f>
        <v>8537598.4700000007</v>
      </c>
      <c r="H305" s="111">
        <f>'Приложение 4'!G304</f>
        <v>7650000</v>
      </c>
      <c r="I305" s="111">
        <f>'Приложение 4'!H304</f>
        <v>7650000</v>
      </c>
    </row>
    <row r="306" spans="1:9" s="152" customFormat="1" ht="15" x14ac:dyDescent="0.2">
      <c r="A306" s="72" t="s">
        <v>474</v>
      </c>
      <c r="B306" s="100">
        <v>701</v>
      </c>
      <c r="C306" s="109" t="s">
        <v>219</v>
      </c>
      <c r="D306" s="109" t="s">
        <v>197</v>
      </c>
      <c r="E306" s="109" t="s">
        <v>483</v>
      </c>
      <c r="F306" s="109"/>
      <c r="G306" s="111">
        <f>SUM(G307:G310)</f>
        <v>133296566.26999998</v>
      </c>
      <c r="H306" s="111">
        <f>SUM(H307:H310)</f>
        <v>127956490.73999999</v>
      </c>
      <c r="I306" s="111">
        <f>SUM(I307:I310)</f>
        <v>127956490.73999999</v>
      </c>
    </row>
    <row r="307" spans="1:9" s="153" customFormat="1" ht="75" x14ac:dyDescent="0.2">
      <c r="A307" s="72" t="s">
        <v>169</v>
      </c>
      <c r="B307" s="100">
        <v>701</v>
      </c>
      <c r="C307" s="109" t="s">
        <v>219</v>
      </c>
      <c r="D307" s="109" t="s">
        <v>197</v>
      </c>
      <c r="E307" s="109" t="s">
        <v>483</v>
      </c>
      <c r="F307" s="109" t="s">
        <v>178</v>
      </c>
      <c r="G307" s="111">
        <f>'Приложение 4'!F306</f>
        <v>100895556.98999999</v>
      </c>
      <c r="H307" s="111">
        <f>'Приложение 4'!G306</f>
        <v>100511155.94</v>
      </c>
      <c r="I307" s="111">
        <f>'Приложение 4'!H306</f>
        <v>100511155.94</v>
      </c>
    </row>
    <row r="308" spans="1:9" s="153" customFormat="1" ht="30" x14ac:dyDescent="0.2">
      <c r="A308" s="72" t="s">
        <v>170</v>
      </c>
      <c r="B308" s="100">
        <v>701</v>
      </c>
      <c r="C308" s="109" t="s">
        <v>219</v>
      </c>
      <c r="D308" s="109" t="s">
        <v>197</v>
      </c>
      <c r="E308" s="109" t="s">
        <v>483</v>
      </c>
      <c r="F308" s="109" t="s">
        <v>181</v>
      </c>
      <c r="G308" s="111">
        <f>'Приложение 4'!F307</f>
        <v>29397703.599999998</v>
      </c>
      <c r="H308" s="111">
        <f>'Приложение 4'!G307</f>
        <v>24446910.449999999</v>
      </c>
      <c r="I308" s="111">
        <f>'Приложение 4'!H307</f>
        <v>24446910.449999999</v>
      </c>
    </row>
    <row r="309" spans="1:9" s="153" customFormat="1" ht="15" x14ac:dyDescent="0.2">
      <c r="A309" s="72" t="s">
        <v>171</v>
      </c>
      <c r="B309" s="100">
        <v>701</v>
      </c>
      <c r="C309" s="109" t="s">
        <v>219</v>
      </c>
      <c r="D309" s="109" t="s">
        <v>197</v>
      </c>
      <c r="E309" s="109" t="s">
        <v>483</v>
      </c>
      <c r="F309" s="109" t="s">
        <v>183</v>
      </c>
      <c r="G309" s="111">
        <f>'Приложение 4'!F308</f>
        <v>4881.33</v>
      </c>
      <c r="H309" s="111">
        <f>'Приложение 4'!G308</f>
        <v>0</v>
      </c>
      <c r="I309" s="111">
        <f>'Приложение 4'!H308</f>
        <v>0</v>
      </c>
    </row>
    <row r="310" spans="1:9" s="153" customFormat="1" ht="15" x14ac:dyDescent="0.2">
      <c r="A310" s="72" t="s">
        <v>172</v>
      </c>
      <c r="B310" s="100">
        <v>701</v>
      </c>
      <c r="C310" s="109" t="s">
        <v>219</v>
      </c>
      <c r="D310" s="109" t="s">
        <v>197</v>
      </c>
      <c r="E310" s="109" t="s">
        <v>483</v>
      </c>
      <c r="F310" s="109" t="s">
        <v>179</v>
      </c>
      <c r="G310" s="111">
        <f>'Приложение 4'!F309</f>
        <v>2998424.35</v>
      </c>
      <c r="H310" s="111">
        <f>'Приложение 4'!G309</f>
        <v>2998424.35</v>
      </c>
      <c r="I310" s="111">
        <f>'Приложение 4'!H309</f>
        <v>2998424.35</v>
      </c>
    </row>
    <row r="311" spans="1:9" s="153" customFormat="1" x14ac:dyDescent="0.25">
      <c r="A311" s="82" t="s">
        <v>200</v>
      </c>
      <c r="B311" s="103">
        <v>701</v>
      </c>
      <c r="C311" s="107" t="s">
        <v>219</v>
      </c>
      <c r="D311" s="107" t="s">
        <v>197</v>
      </c>
      <c r="E311" s="107" t="s">
        <v>201</v>
      </c>
      <c r="F311" s="107"/>
      <c r="G311" s="113">
        <f>G312</f>
        <v>3460637.6699999981</v>
      </c>
      <c r="H311" s="113">
        <f>H312</f>
        <v>0</v>
      </c>
      <c r="I311" s="113">
        <f>I312</f>
        <v>0</v>
      </c>
    </row>
    <row r="312" spans="1:9" s="153" customFormat="1" ht="15" x14ac:dyDescent="0.2">
      <c r="A312" s="72" t="s">
        <v>220</v>
      </c>
      <c r="B312" s="100">
        <v>701</v>
      </c>
      <c r="C312" s="109" t="s">
        <v>219</v>
      </c>
      <c r="D312" s="109" t="s">
        <v>197</v>
      </c>
      <c r="E312" s="109" t="s">
        <v>221</v>
      </c>
      <c r="F312" s="109"/>
      <c r="G312" s="111">
        <f>SUM(G313:G314)</f>
        <v>3460637.6699999981</v>
      </c>
      <c r="H312" s="111">
        <f>SUM(H313:H314)</f>
        <v>0</v>
      </c>
      <c r="I312" s="111">
        <f>SUM(I313:I314)</f>
        <v>0</v>
      </c>
    </row>
    <row r="313" spans="1:9" s="152" customFormat="1" ht="30" x14ac:dyDescent="0.2">
      <c r="A313" s="72" t="s">
        <v>170</v>
      </c>
      <c r="B313" s="100">
        <v>701</v>
      </c>
      <c r="C313" s="109" t="s">
        <v>219</v>
      </c>
      <c r="D313" s="109" t="s">
        <v>197</v>
      </c>
      <c r="E313" s="109" t="s">
        <v>221</v>
      </c>
      <c r="F313" s="109" t="s">
        <v>181</v>
      </c>
      <c r="G313" s="110">
        <f>'Приложение 4'!F312</f>
        <v>3360637.6699999981</v>
      </c>
      <c r="H313" s="110">
        <f>'Приложение 4'!G312</f>
        <v>0</v>
      </c>
      <c r="I313" s="110">
        <f>'Приложение 4'!H312</f>
        <v>0</v>
      </c>
    </row>
    <row r="314" spans="1:9" s="152" customFormat="1" ht="15" x14ac:dyDescent="0.2">
      <c r="A314" s="72" t="s">
        <v>171</v>
      </c>
      <c r="B314" s="100">
        <v>702</v>
      </c>
      <c r="C314" s="109" t="s">
        <v>219</v>
      </c>
      <c r="D314" s="109" t="s">
        <v>197</v>
      </c>
      <c r="E314" s="109" t="s">
        <v>221</v>
      </c>
      <c r="F314" s="109" t="s">
        <v>183</v>
      </c>
      <c r="G314" s="110">
        <f>'Приложение 4'!F313</f>
        <v>100000</v>
      </c>
      <c r="H314" s="110"/>
      <c r="I314" s="110"/>
    </row>
    <row r="315" spans="1:9" s="152" customFormat="1" x14ac:dyDescent="0.25">
      <c r="A315" s="82" t="s">
        <v>294</v>
      </c>
      <c r="B315" s="103">
        <v>701</v>
      </c>
      <c r="C315" s="107" t="s">
        <v>219</v>
      </c>
      <c r="D315" s="107" t="s">
        <v>199</v>
      </c>
      <c r="E315" s="107"/>
      <c r="F315" s="107"/>
      <c r="G315" s="108">
        <f t="shared" ref="G315:I316" si="30">G316</f>
        <v>6380586.21</v>
      </c>
      <c r="H315" s="108">
        <f t="shared" si="30"/>
        <v>8000000</v>
      </c>
      <c r="I315" s="108">
        <f t="shared" si="30"/>
        <v>8000000</v>
      </c>
    </row>
    <row r="316" spans="1:9" s="153" customFormat="1" ht="31.5" x14ac:dyDescent="0.25">
      <c r="A316" s="82" t="s">
        <v>188</v>
      </c>
      <c r="B316" s="103">
        <v>701</v>
      </c>
      <c r="C316" s="107" t="s">
        <v>219</v>
      </c>
      <c r="D316" s="107" t="s">
        <v>199</v>
      </c>
      <c r="E316" s="107" t="s">
        <v>481</v>
      </c>
      <c r="F316" s="107"/>
      <c r="G316" s="108">
        <f t="shared" si="30"/>
        <v>6380586.21</v>
      </c>
      <c r="H316" s="108">
        <f t="shared" si="30"/>
        <v>8000000</v>
      </c>
      <c r="I316" s="108">
        <f t="shared" si="30"/>
        <v>8000000</v>
      </c>
    </row>
    <row r="317" spans="1:9" s="153" customFormat="1" x14ac:dyDescent="0.25">
      <c r="A317" s="72" t="s">
        <v>478</v>
      </c>
      <c r="B317" s="103">
        <v>701</v>
      </c>
      <c r="C317" s="109" t="s">
        <v>219</v>
      </c>
      <c r="D317" s="109" t="s">
        <v>199</v>
      </c>
      <c r="E317" s="109" t="s">
        <v>482</v>
      </c>
      <c r="F317" s="109"/>
      <c r="G317" s="110">
        <f>SUM(G318:G319)</f>
        <v>6380586.21</v>
      </c>
      <c r="H317" s="110">
        <f>SUM(H318:H319)</f>
        <v>8000000</v>
      </c>
      <c r="I317" s="110">
        <f>SUM(I318:I319)</f>
        <v>8000000</v>
      </c>
    </row>
    <row r="318" spans="1:9" s="153" customFormat="1" ht="75.75" x14ac:dyDescent="0.25">
      <c r="A318" s="72" t="s">
        <v>169</v>
      </c>
      <c r="B318" s="103">
        <v>701</v>
      </c>
      <c r="C318" s="109" t="s">
        <v>219</v>
      </c>
      <c r="D318" s="109" t="s">
        <v>199</v>
      </c>
      <c r="E318" s="109" t="s">
        <v>482</v>
      </c>
      <c r="F318" s="109" t="s">
        <v>178</v>
      </c>
      <c r="G318" s="110">
        <f>'Приложение 4'!F317</f>
        <v>241422</v>
      </c>
      <c r="H318" s="110">
        <f>'Приложение 4'!G317</f>
        <v>350000</v>
      </c>
      <c r="I318" s="110">
        <f>'Приложение 4'!H317</f>
        <v>350000</v>
      </c>
    </row>
    <row r="319" spans="1:9" s="152" customFormat="1" ht="30.75" x14ac:dyDescent="0.25">
      <c r="A319" s="72" t="s">
        <v>170</v>
      </c>
      <c r="B319" s="103">
        <v>701</v>
      </c>
      <c r="C319" s="109" t="s">
        <v>219</v>
      </c>
      <c r="D319" s="109" t="s">
        <v>199</v>
      </c>
      <c r="E319" s="109" t="s">
        <v>482</v>
      </c>
      <c r="F319" s="109" t="s">
        <v>181</v>
      </c>
      <c r="G319" s="110">
        <f>'Приложение 4'!F318</f>
        <v>6139164.21</v>
      </c>
      <c r="H319" s="110">
        <f>'Приложение 4'!G318</f>
        <v>7650000</v>
      </c>
      <c r="I319" s="110">
        <f>'Приложение 4'!H318</f>
        <v>7650000</v>
      </c>
    </row>
    <row r="320" spans="1:9" s="153" customFormat="1" ht="63" x14ac:dyDescent="0.25">
      <c r="A320" s="120" t="s">
        <v>270</v>
      </c>
      <c r="B320" s="103">
        <v>701</v>
      </c>
      <c r="C320" s="160" t="s">
        <v>271</v>
      </c>
      <c r="D320" s="160"/>
      <c r="E320" s="160"/>
      <c r="F320" s="161"/>
      <c r="G320" s="108">
        <f>G321</f>
        <v>449589488.68000001</v>
      </c>
      <c r="H320" s="108">
        <f t="shared" ref="H320:I323" si="31">H321</f>
        <v>11741386.74</v>
      </c>
      <c r="I320" s="108">
        <f t="shared" si="31"/>
        <v>0</v>
      </c>
    </row>
    <row r="321" spans="1:9" s="152" customFormat="1" ht="31.5" x14ac:dyDescent="0.25">
      <c r="A321" s="123" t="s">
        <v>272</v>
      </c>
      <c r="B321" s="103">
        <v>701</v>
      </c>
      <c r="C321" s="160" t="s">
        <v>271</v>
      </c>
      <c r="D321" s="160" t="s">
        <v>207</v>
      </c>
      <c r="E321" s="160"/>
      <c r="F321" s="161"/>
      <c r="G321" s="108">
        <f>G322</f>
        <v>449589488.68000001</v>
      </c>
      <c r="H321" s="108">
        <f t="shared" si="31"/>
        <v>11741386.74</v>
      </c>
      <c r="I321" s="108">
        <f t="shared" si="31"/>
        <v>0</v>
      </c>
    </row>
    <row r="322" spans="1:9" s="152" customFormat="1" x14ac:dyDescent="0.25">
      <c r="A322" s="82" t="s">
        <v>200</v>
      </c>
      <c r="B322" s="103">
        <v>701</v>
      </c>
      <c r="C322" s="160" t="s">
        <v>271</v>
      </c>
      <c r="D322" s="160" t="s">
        <v>207</v>
      </c>
      <c r="E322" s="160" t="s">
        <v>201</v>
      </c>
      <c r="F322" s="161"/>
      <c r="G322" s="108">
        <f>G323</f>
        <v>449589488.68000001</v>
      </c>
      <c r="H322" s="108">
        <f t="shared" si="31"/>
        <v>11741386.74</v>
      </c>
      <c r="I322" s="108">
        <f t="shared" si="31"/>
        <v>0</v>
      </c>
    </row>
    <row r="323" spans="1:9" s="152" customFormat="1" ht="15" x14ac:dyDescent="0.2">
      <c r="A323" s="72" t="s">
        <v>273</v>
      </c>
      <c r="B323" s="100">
        <v>701</v>
      </c>
      <c r="C323" s="163" t="s">
        <v>271</v>
      </c>
      <c r="D323" s="163" t="s">
        <v>207</v>
      </c>
      <c r="E323" s="163" t="s">
        <v>274</v>
      </c>
      <c r="F323" s="164"/>
      <c r="G323" s="110">
        <f>G324</f>
        <v>449589488.68000001</v>
      </c>
      <c r="H323" s="110">
        <f t="shared" si="31"/>
        <v>11741386.74</v>
      </c>
      <c r="I323" s="110">
        <f t="shared" si="31"/>
        <v>0</v>
      </c>
    </row>
    <row r="324" spans="1:9" s="140" customFormat="1" x14ac:dyDescent="0.25">
      <c r="A324" s="162" t="s">
        <v>273</v>
      </c>
      <c r="B324" s="103">
        <v>701</v>
      </c>
      <c r="C324" s="163" t="s">
        <v>271</v>
      </c>
      <c r="D324" s="163" t="s">
        <v>207</v>
      </c>
      <c r="E324" s="163" t="s">
        <v>274</v>
      </c>
      <c r="F324" s="164" t="s">
        <v>277</v>
      </c>
      <c r="G324" s="110">
        <f>'Приложение 4'!F323</f>
        <v>449589488.68000001</v>
      </c>
      <c r="H324" s="110">
        <f>'Приложение 4'!G323</f>
        <v>11741386.74</v>
      </c>
      <c r="I324" s="110">
        <f>'Приложение 4'!H323</f>
        <v>0</v>
      </c>
    </row>
  </sheetData>
  <autoFilter ref="A15:I324"/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51" fitToHeight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4"/>
  <sheetViews>
    <sheetView topLeftCell="B1" zoomScaleNormal="100" workbookViewId="0">
      <selection activeCell="I7" sqref="I7:J8"/>
    </sheetView>
  </sheetViews>
  <sheetFormatPr defaultRowHeight="15" x14ac:dyDescent="0.25"/>
  <cols>
    <col min="1" max="1" width="67.140625" style="2" customWidth="1"/>
    <col min="2" max="2" width="8.140625" style="167" customWidth="1"/>
    <col min="3" max="3" width="6.140625" style="167" customWidth="1"/>
    <col min="4" max="4" width="6.5703125" style="167" customWidth="1"/>
    <col min="5" max="5" width="15.42578125" style="53" customWidth="1"/>
    <col min="6" max="6" width="7" style="168" customWidth="1"/>
    <col min="7" max="7" width="14.5703125" style="168" customWidth="1"/>
    <col min="8" max="10" width="19.140625" style="169" customWidth="1"/>
    <col min="11" max="11" width="17.7109375" style="169" customWidth="1"/>
    <col min="12" max="250" width="9.140625" style="1"/>
    <col min="251" max="251" width="71.5703125" style="1" customWidth="1"/>
    <col min="252" max="252" width="6.140625" style="1" customWidth="1"/>
    <col min="253" max="253" width="7.42578125" style="1" bestFit="1" customWidth="1"/>
    <col min="254" max="254" width="16.5703125" style="1" customWidth="1"/>
    <col min="255" max="255" width="8.140625" style="1" bestFit="1" customWidth="1"/>
    <col min="256" max="256" width="19.28515625" style="1" customWidth="1"/>
    <col min="257" max="258" width="0" style="1" hidden="1" customWidth="1"/>
    <col min="259" max="259" width="15.42578125" style="1" bestFit="1" customWidth="1"/>
    <col min="260" max="260" width="15" style="1" bestFit="1" customWidth="1"/>
    <col min="261" max="261" width="15" style="1" customWidth="1"/>
    <col min="262" max="262" width="9.7109375" style="1" bestFit="1" customWidth="1"/>
    <col min="263" max="506" width="9.140625" style="1"/>
    <col min="507" max="507" width="71.5703125" style="1" customWidth="1"/>
    <col min="508" max="508" width="6.140625" style="1" customWidth="1"/>
    <col min="509" max="509" width="7.42578125" style="1" bestFit="1" customWidth="1"/>
    <col min="510" max="510" width="16.5703125" style="1" customWidth="1"/>
    <col min="511" max="511" width="8.140625" style="1" bestFit="1" customWidth="1"/>
    <col min="512" max="512" width="19.28515625" style="1" customWidth="1"/>
    <col min="513" max="514" width="0" style="1" hidden="1" customWidth="1"/>
    <col min="515" max="515" width="15.42578125" style="1" bestFit="1" customWidth="1"/>
    <col min="516" max="516" width="15" style="1" bestFit="1" customWidth="1"/>
    <col min="517" max="517" width="15" style="1" customWidth="1"/>
    <col min="518" max="518" width="9.7109375" style="1" bestFit="1" customWidth="1"/>
    <col min="519" max="762" width="9.140625" style="1"/>
    <col min="763" max="763" width="71.5703125" style="1" customWidth="1"/>
    <col min="764" max="764" width="6.140625" style="1" customWidth="1"/>
    <col min="765" max="765" width="7.42578125" style="1" bestFit="1" customWidth="1"/>
    <col min="766" max="766" width="16.5703125" style="1" customWidth="1"/>
    <col min="767" max="767" width="8.140625" style="1" bestFit="1" customWidth="1"/>
    <col min="768" max="768" width="19.28515625" style="1" customWidth="1"/>
    <col min="769" max="770" width="0" style="1" hidden="1" customWidth="1"/>
    <col min="771" max="771" width="15.42578125" style="1" bestFit="1" customWidth="1"/>
    <col min="772" max="772" width="15" style="1" bestFit="1" customWidth="1"/>
    <col min="773" max="773" width="15" style="1" customWidth="1"/>
    <col min="774" max="774" width="9.7109375" style="1" bestFit="1" customWidth="1"/>
    <col min="775" max="1018" width="9.140625" style="1"/>
    <col min="1019" max="1019" width="71.5703125" style="1" customWidth="1"/>
    <col min="1020" max="1020" width="6.140625" style="1" customWidth="1"/>
    <col min="1021" max="1021" width="7.42578125" style="1" bestFit="1" customWidth="1"/>
    <col min="1022" max="1022" width="16.5703125" style="1" customWidth="1"/>
    <col min="1023" max="1023" width="8.140625" style="1" bestFit="1" customWidth="1"/>
    <col min="1024" max="1024" width="19.28515625" style="1" customWidth="1"/>
    <col min="1025" max="1026" width="0" style="1" hidden="1" customWidth="1"/>
    <col min="1027" max="1027" width="15.42578125" style="1" bestFit="1" customWidth="1"/>
    <col min="1028" max="1028" width="15" style="1" bestFit="1" customWidth="1"/>
    <col min="1029" max="1029" width="15" style="1" customWidth="1"/>
    <col min="1030" max="1030" width="9.7109375" style="1" bestFit="1" customWidth="1"/>
    <col min="1031" max="1274" width="9.140625" style="1"/>
    <col min="1275" max="1275" width="71.5703125" style="1" customWidth="1"/>
    <col min="1276" max="1276" width="6.140625" style="1" customWidth="1"/>
    <col min="1277" max="1277" width="7.42578125" style="1" bestFit="1" customWidth="1"/>
    <col min="1278" max="1278" width="16.5703125" style="1" customWidth="1"/>
    <col min="1279" max="1279" width="8.140625" style="1" bestFit="1" customWidth="1"/>
    <col min="1280" max="1280" width="19.28515625" style="1" customWidth="1"/>
    <col min="1281" max="1282" width="0" style="1" hidden="1" customWidth="1"/>
    <col min="1283" max="1283" width="15.42578125" style="1" bestFit="1" customWidth="1"/>
    <col min="1284" max="1284" width="15" style="1" bestFit="1" customWidth="1"/>
    <col min="1285" max="1285" width="15" style="1" customWidth="1"/>
    <col min="1286" max="1286" width="9.7109375" style="1" bestFit="1" customWidth="1"/>
    <col min="1287" max="1530" width="9.140625" style="1"/>
    <col min="1531" max="1531" width="71.5703125" style="1" customWidth="1"/>
    <col min="1532" max="1532" width="6.140625" style="1" customWidth="1"/>
    <col min="1533" max="1533" width="7.42578125" style="1" bestFit="1" customWidth="1"/>
    <col min="1534" max="1534" width="16.5703125" style="1" customWidth="1"/>
    <col min="1535" max="1535" width="8.140625" style="1" bestFit="1" customWidth="1"/>
    <col min="1536" max="1536" width="19.28515625" style="1" customWidth="1"/>
    <col min="1537" max="1538" width="0" style="1" hidden="1" customWidth="1"/>
    <col min="1539" max="1539" width="15.42578125" style="1" bestFit="1" customWidth="1"/>
    <col min="1540" max="1540" width="15" style="1" bestFit="1" customWidth="1"/>
    <col min="1541" max="1541" width="15" style="1" customWidth="1"/>
    <col min="1542" max="1542" width="9.7109375" style="1" bestFit="1" customWidth="1"/>
    <col min="1543" max="1786" width="9.140625" style="1"/>
    <col min="1787" max="1787" width="71.5703125" style="1" customWidth="1"/>
    <col min="1788" max="1788" width="6.140625" style="1" customWidth="1"/>
    <col min="1789" max="1789" width="7.42578125" style="1" bestFit="1" customWidth="1"/>
    <col min="1790" max="1790" width="16.5703125" style="1" customWidth="1"/>
    <col min="1791" max="1791" width="8.140625" style="1" bestFit="1" customWidth="1"/>
    <col min="1792" max="1792" width="19.28515625" style="1" customWidth="1"/>
    <col min="1793" max="1794" width="0" style="1" hidden="1" customWidth="1"/>
    <col min="1795" max="1795" width="15.42578125" style="1" bestFit="1" customWidth="1"/>
    <col min="1796" max="1796" width="15" style="1" bestFit="1" customWidth="1"/>
    <col min="1797" max="1797" width="15" style="1" customWidth="1"/>
    <col min="1798" max="1798" width="9.7109375" style="1" bestFit="1" customWidth="1"/>
    <col min="1799" max="2042" width="9.140625" style="1"/>
    <col min="2043" max="2043" width="71.5703125" style="1" customWidth="1"/>
    <col min="2044" max="2044" width="6.140625" style="1" customWidth="1"/>
    <col min="2045" max="2045" width="7.42578125" style="1" bestFit="1" customWidth="1"/>
    <col min="2046" max="2046" width="16.5703125" style="1" customWidth="1"/>
    <col min="2047" max="2047" width="8.140625" style="1" bestFit="1" customWidth="1"/>
    <col min="2048" max="2048" width="19.28515625" style="1" customWidth="1"/>
    <col min="2049" max="2050" width="0" style="1" hidden="1" customWidth="1"/>
    <col min="2051" max="2051" width="15.42578125" style="1" bestFit="1" customWidth="1"/>
    <col min="2052" max="2052" width="15" style="1" bestFit="1" customWidth="1"/>
    <col min="2053" max="2053" width="15" style="1" customWidth="1"/>
    <col min="2054" max="2054" width="9.7109375" style="1" bestFit="1" customWidth="1"/>
    <col min="2055" max="2298" width="9.140625" style="1"/>
    <col min="2299" max="2299" width="71.5703125" style="1" customWidth="1"/>
    <col min="2300" max="2300" width="6.140625" style="1" customWidth="1"/>
    <col min="2301" max="2301" width="7.42578125" style="1" bestFit="1" customWidth="1"/>
    <col min="2302" max="2302" width="16.5703125" style="1" customWidth="1"/>
    <col min="2303" max="2303" width="8.140625" style="1" bestFit="1" customWidth="1"/>
    <col min="2304" max="2304" width="19.28515625" style="1" customWidth="1"/>
    <col min="2305" max="2306" width="0" style="1" hidden="1" customWidth="1"/>
    <col min="2307" max="2307" width="15.42578125" style="1" bestFit="1" customWidth="1"/>
    <col min="2308" max="2308" width="15" style="1" bestFit="1" customWidth="1"/>
    <col min="2309" max="2309" width="15" style="1" customWidth="1"/>
    <col min="2310" max="2310" width="9.7109375" style="1" bestFit="1" customWidth="1"/>
    <col min="2311" max="2554" width="9.140625" style="1"/>
    <col min="2555" max="2555" width="71.5703125" style="1" customWidth="1"/>
    <col min="2556" max="2556" width="6.140625" style="1" customWidth="1"/>
    <col min="2557" max="2557" width="7.42578125" style="1" bestFit="1" customWidth="1"/>
    <col min="2558" max="2558" width="16.5703125" style="1" customWidth="1"/>
    <col min="2559" max="2559" width="8.140625" style="1" bestFit="1" customWidth="1"/>
    <col min="2560" max="2560" width="19.28515625" style="1" customWidth="1"/>
    <col min="2561" max="2562" width="0" style="1" hidden="1" customWidth="1"/>
    <col min="2563" max="2563" width="15.42578125" style="1" bestFit="1" customWidth="1"/>
    <col min="2564" max="2564" width="15" style="1" bestFit="1" customWidth="1"/>
    <col min="2565" max="2565" width="15" style="1" customWidth="1"/>
    <col min="2566" max="2566" width="9.7109375" style="1" bestFit="1" customWidth="1"/>
    <col min="2567" max="2810" width="9.140625" style="1"/>
    <col min="2811" max="2811" width="71.5703125" style="1" customWidth="1"/>
    <col min="2812" max="2812" width="6.140625" style="1" customWidth="1"/>
    <col min="2813" max="2813" width="7.42578125" style="1" bestFit="1" customWidth="1"/>
    <col min="2814" max="2814" width="16.5703125" style="1" customWidth="1"/>
    <col min="2815" max="2815" width="8.140625" style="1" bestFit="1" customWidth="1"/>
    <col min="2816" max="2816" width="19.28515625" style="1" customWidth="1"/>
    <col min="2817" max="2818" width="0" style="1" hidden="1" customWidth="1"/>
    <col min="2819" max="2819" width="15.42578125" style="1" bestFit="1" customWidth="1"/>
    <col min="2820" max="2820" width="15" style="1" bestFit="1" customWidth="1"/>
    <col min="2821" max="2821" width="15" style="1" customWidth="1"/>
    <col min="2822" max="2822" width="9.7109375" style="1" bestFit="1" customWidth="1"/>
    <col min="2823" max="3066" width="9.140625" style="1"/>
    <col min="3067" max="3067" width="71.5703125" style="1" customWidth="1"/>
    <col min="3068" max="3068" width="6.140625" style="1" customWidth="1"/>
    <col min="3069" max="3069" width="7.42578125" style="1" bestFit="1" customWidth="1"/>
    <col min="3070" max="3070" width="16.5703125" style="1" customWidth="1"/>
    <col min="3071" max="3071" width="8.140625" style="1" bestFit="1" customWidth="1"/>
    <col min="3072" max="3072" width="19.28515625" style="1" customWidth="1"/>
    <col min="3073" max="3074" width="0" style="1" hidden="1" customWidth="1"/>
    <col min="3075" max="3075" width="15.42578125" style="1" bestFit="1" customWidth="1"/>
    <col min="3076" max="3076" width="15" style="1" bestFit="1" customWidth="1"/>
    <col min="3077" max="3077" width="15" style="1" customWidth="1"/>
    <col min="3078" max="3078" width="9.7109375" style="1" bestFit="1" customWidth="1"/>
    <col min="3079" max="3322" width="9.140625" style="1"/>
    <col min="3323" max="3323" width="71.5703125" style="1" customWidth="1"/>
    <col min="3324" max="3324" width="6.140625" style="1" customWidth="1"/>
    <col min="3325" max="3325" width="7.42578125" style="1" bestFit="1" customWidth="1"/>
    <col min="3326" max="3326" width="16.5703125" style="1" customWidth="1"/>
    <col min="3327" max="3327" width="8.140625" style="1" bestFit="1" customWidth="1"/>
    <col min="3328" max="3328" width="19.28515625" style="1" customWidth="1"/>
    <col min="3329" max="3330" width="0" style="1" hidden="1" customWidth="1"/>
    <col min="3331" max="3331" width="15.42578125" style="1" bestFit="1" customWidth="1"/>
    <col min="3332" max="3332" width="15" style="1" bestFit="1" customWidth="1"/>
    <col min="3333" max="3333" width="15" style="1" customWidth="1"/>
    <col min="3334" max="3334" width="9.7109375" style="1" bestFit="1" customWidth="1"/>
    <col min="3335" max="3578" width="9.140625" style="1"/>
    <col min="3579" max="3579" width="71.5703125" style="1" customWidth="1"/>
    <col min="3580" max="3580" width="6.140625" style="1" customWidth="1"/>
    <col min="3581" max="3581" width="7.42578125" style="1" bestFit="1" customWidth="1"/>
    <col min="3582" max="3582" width="16.5703125" style="1" customWidth="1"/>
    <col min="3583" max="3583" width="8.140625" style="1" bestFit="1" customWidth="1"/>
    <col min="3584" max="3584" width="19.28515625" style="1" customWidth="1"/>
    <col min="3585" max="3586" width="0" style="1" hidden="1" customWidth="1"/>
    <col min="3587" max="3587" width="15.42578125" style="1" bestFit="1" customWidth="1"/>
    <col min="3588" max="3588" width="15" style="1" bestFit="1" customWidth="1"/>
    <col min="3589" max="3589" width="15" style="1" customWidth="1"/>
    <col min="3590" max="3590" width="9.7109375" style="1" bestFit="1" customWidth="1"/>
    <col min="3591" max="3834" width="9.140625" style="1"/>
    <col min="3835" max="3835" width="71.5703125" style="1" customWidth="1"/>
    <col min="3836" max="3836" width="6.140625" style="1" customWidth="1"/>
    <col min="3837" max="3837" width="7.42578125" style="1" bestFit="1" customWidth="1"/>
    <col min="3838" max="3838" width="16.5703125" style="1" customWidth="1"/>
    <col min="3839" max="3839" width="8.140625" style="1" bestFit="1" customWidth="1"/>
    <col min="3840" max="3840" width="19.28515625" style="1" customWidth="1"/>
    <col min="3841" max="3842" width="0" style="1" hidden="1" customWidth="1"/>
    <col min="3843" max="3843" width="15.42578125" style="1" bestFit="1" customWidth="1"/>
    <col min="3844" max="3844" width="15" style="1" bestFit="1" customWidth="1"/>
    <col min="3845" max="3845" width="15" style="1" customWidth="1"/>
    <col min="3846" max="3846" width="9.7109375" style="1" bestFit="1" customWidth="1"/>
    <col min="3847" max="4090" width="9.140625" style="1"/>
    <col min="4091" max="4091" width="71.5703125" style="1" customWidth="1"/>
    <col min="4092" max="4092" width="6.140625" style="1" customWidth="1"/>
    <col min="4093" max="4093" width="7.42578125" style="1" bestFit="1" customWidth="1"/>
    <col min="4094" max="4094" width="16.5703125" style="1" customWidth="1"/>
    <col min="4095" max="4095" width="8.140625" style="1" bestFit="1" customWidth="1"/>
    <col min="4096" max="4096" width="19.28515625" style="1" customWidth="1"/>
    <col min="4097" max="4098" width="0" style="1" hidden="1" customWidth="1"/>
    <col min="4099" max="4099" width="15.42578125" style="1" bestFit="1" customWidth="1"/>
    <col min="4100" max="4100" width="15" style="1" bestFit="1" customWidth="1"/>
    <col min="4101" max="4101" width="15" style="1" customWidth="1"/>
    <col min="4102" max="4102" width="9.7109375" style="1" bestFit="1" customWidth="1"/>
    <col min="4103" max="4346" width="9.140625" style="1"/>
    <col min="4347" max="4347" width="71.5703125" style="1" customWidth="1"/>
    <col min="4348" max="4348" width="6.140625" style="1" customWidth="1"/>
    <col min="4349" max="4349" width="7.42578125" style="1" bestFit="1" customWidth="1"/>
    <col min="4350" max="4350" width="16.5703125" style="1" customWidth="1"/>
    <col min="4351" max="4351" width="8.140625" style="1" bestFit="1" customWidth="1"/>
    <col min="4352" max="4352" width="19.28515625" style="1" customWidth="1"/>
    <col min="4353" max="4354" width="0" style="1" hidden="1" customWidth="1"/>
    <col min="4355" max="4355" width="15.42578125" style="1" bestFit="1" customWidth="1"/>
    <col min="4356" max="4356" width="15" style="1" bestFit="1" customWidth="1"/>
    <col min="4357" max="4357" width="15" style="1" customWidth="1"/>
    <col min="4358" max="4358" width="9.7109375" style="1" bestFit="1" customWidth="1"/>
    <col min="4359" max="4602" width="9.140625" style="1"/>
    <col min="4603" max="4603" width="71.5703125" style="1" customWidth="1"/>
    <col min="4604" max="4604" width="6.140625" style="1" customWidth="1"/>
    <col min="4605" max="4605" width="7.42578125" style="1" bestFit="1" customWidth="1"/>
    <col min="4606" max="4606" width="16.5703125" style="1" customWidth="1"/>
    <col min="4607" max="4607" width="8.140625" style="1" bestFit="1" customWidth="1"/>
    <col min="4608" max="4608" width="19.28515625" style="1" customWidth="1"/>
    <col min="4609" max="4610" width="0" style="1" hidden="1" customWidth="1"/>
    <col min="4611" max="4611" width="15.42578125" style="1" bestFit="1" customWidth="1"/>
    <col min="4612" max="4612" width="15" style="1" bestFit="1" customWidth="1"/>
    <col min="4613" max="4613" width="15" style="1" customWidth="1"/>
    <col min="4614" max="4614" width="9.7109375" style="1" bestFit="1" customWidth="1"/>
    <col min="4615" max="4858" width="9.140625" style="1"/>
    <col min="4859" max="4859" width="71.5703125" style="1" customWidth="1"/>
    <col min="4860" max="4860" width="6.140625" style="1" customWidth="1"/>
    <col min="4861" max="4861" width="7.42578125" style="1" bestFit="1" customWidth="1"/>
    <col min="4862" max="4862" width="16.5703125" style="1" customWidth="1"/>
    <col min="4863" max="4863" width="8.140625" style="1" bestFit="1" customWidth="1"/>
    <col min="4864" max="4864" width="19.28515625" style="1" customWidth="1"/>
    <col min="4865" max="4866" width="0" style="1" hidden="1" customWidth="1"/>
    <col min="4867" max="4867" width="15.42578125" style="1" bestFit="1" customWidth="1"/>
    <col min="4868" max="4868" width="15" style="1" bestFit="1" customWidth="1"/>
    <col min="4869" max="4869" width="15" style="1" customWidth="1"/>
    <col min="4870" max="4870" width="9.7109375" style="1" bestFit="1" customWidth="1"/>
    <col min="4871" max="5114" width="9.140625" style="1"/>
    <col min="5115" max="5115" width="71.5703125" style="1" customWidth="1"/>
    <col min="5116" max="5116" width="6.140625" style="1" customWidth="1"/>
    <col min="5117" max="5117" width="7.42578125" style="1" bestFit="1" customWidth="1"/>
    <col min="5118" max="5118" width="16.5703125" style="1" customWidth="1"/>
    <col min="5119" max="5119" width="8.140625" style="1" bestFit="1" customWidth="1"/>
    <col min="5120" max="5120" width="19.28515625" style="1" customWidth="1"/>
    <col min="5121" max="5122" width="0" style="1" hidden="1" customWidth="1"/>
    <col min="5123" max="5123" width="15.42578125" style="1" bestFit="1" customWidth="1"/>
    <col min="5124" max="5124" width="15" style="1" bestFit="1" customWidth="1"/>
    <col min="5125" max="5125" width="15" style="1" customWidth="1"/>
    <col min="5126" max="5126" width="9.7109375" style="1" bestFit="1" customWidth="1"/>
    <col min="5127" max="5370" width="9.140625" style="1"/>
    <col min="5371" max="5371" width="71.5703125" style="1" customWidth="1"/>
    <col min="5372" max="5372" width="6.140625" style="1" customWidth="1"/>
    <col min="5373" max="5373" width="7.42578125" style="1" bestFit="1" customWidth="1"/>
    <col min="5374" max="5374" width="16.5703125" style="1" customWidth="1"/>
    <col min="5375" max="5375" width="8.140625" style="1" bestFit="1" customWidth="1"/>
    <col min="5376" max="5376" width="19.28515625" style="1" customWidth="1"/>
    <col min="5377" max="5378" width="0" style="1" hidden="1" customWidth="1"/>
    <col min="5379" max="5379" width="15.42578125" style="1" bestFit="1" customWidth="1"/>
    <col min="5380" max="5380" width="15" style="1" bestFit="1" customWidth="1"/>
    <col min="5381" max="5381" width="15" style="1" customWidth="1"/>
    <col min="5382" max="5382" width="9.7109375" style="1" bestFit="1" customWidth="1"/>
    <col min="5383" max="5626" width="9.140625" style="1"/>
    <col min="5627" max="5627" width="71.5703125" style="1" customWidth="1"/>
    <col min="5628" max="5628" width="6.140625" style="1" customWidth="1"/>
    <col min="5629" max="5629" width="7.42578125" style="1" bestFit="1" customWidth="1"/>
    <col min="5630" max="5630" width="16.5703125" style="1" customWidth="1"/>
    <col min="5631" max="5631" width="8.140625" style="1" bestFit="1" customWidth="1"/>
    <col min="5632" max="5632" width="19.28515625" style="1" customWidth="1"/>
    <col min="5633" max="5634" width="0" style="1" hidden="1" customWidth="1"/>
    <col min="5635" max="5635" width="15.42578125" style="1" bestFit="1" customWidth="1"/>
    <col min="5636" max="5636" width="15" style="1" bestFit="1" customWidth="1"/>
    <col min="5637" max="5637" width="15" style="1" customWidth="1"/>
    <col min="5638" max="5638" width="9.7109375" style="1" bestFit="1" customWidth="1"/>
    <col min="5639" max="5882" width="9.140625" style="1"/>
    <col min="5883" max="5883" width="71.5703125" style="1" customWidth="1"/>
    <col min="5884" max="5884" width="6.140625" style="1" customWidth="1"/>
    <col min="5885" max="5885" width="7.42578125" style="1" bestFit="1" customWidth="1"/>
    <col min="5886" max="5886" width="16.5703125" style="1" customWidth="1"/>
    <col min="5887" max="5887" width="8.140625" style="1" bestFit="1" customWidth="1"/>
    <col min="5888" max="5888" width="19.28515625" style="1" customWidth="1"/>
    <col min="5889" max="5890" width="0" style="1" hidden="1" customWidth="1"/>
    <col min="5891" max="5891" width="15.42578125" style="1" bestFit="1" customWidth="1"/>
    <col min="5892" max="5892" width="15" style="1" bestFit="1" customWidth="1"/>
    <col min="5893" max="5893" width="15" style="1" customWidth="1"/>
    <col min="5894" max="5894" width="9.7109375" style="1" bestFit="1" customWidth="1"/>
    <col min="5895" max="6138" width="9.140625" style="1"/>
    <col min="6139" max="6139" width="71.5703125" style="1" customWidth="1"/>
    <col min="6140" max="6140" width="6.140625" style="1" customWidth="1"/>
    <col min="6141" max="6141" width="7.42578125" style="1" bestFit="1" customWidth="1"/>
    <col min="6142" max="6142" width="16.5703125" style="1" customWidth="1"/>
    <col min="6143" max="6143" width="8.140625" style="1" bestFit="1" customWidth="1"/>
    <col min="6144" max="6144" width="19.28515625" style="1" customWidth="1"/>
    <col min="6145" max="6146" width="0" style="1" hidden="1" customWidth="1"/>
    <col min="6147" max="6147" width="15.42578125" style="1" bestFit="1" customWidth="1"/>
    <col min="6148" max="6148" width="15" style="1" bestFit="1" customWidth="1"/>
    <col min="6149" max="6149" width="15" style="1" customWidth="1"/>
    <col min="6150" max="6150" width="9.7109375" style="1" bestFit="1" customWidth="1"/>
    <col min="6151" max="6394" width="9.140625" style="1"/>
    <col min="6395" max="6395" width="71.5703125" style="1" customWidth="1"/>
    <col min="6396" max="6396" width="6.140625" style="1" customWidth="1"/>
    <col min="6397" max="6397" width="7.42578125" style="1" bestFit="1" customWidth="1"/>
    <col min="6398" max="6398" width="16.5703125" style="1" customWidth="1"/>
    <col min="6399" max="6399" width="8.140625" style="1" bestFit="1" customWidth="1"/>
    <col min="6400" max="6400" width="19.28515625" style="1" customWidth="1"/>
    <col min="6401" max="6402" width="0" style="1" hidden="1" customWidth="1"/>
    <col min="6403" max="6403" width="15.42578125" style="1" bestFit="1" customWidth="1"/>
    <col min="6404" max="6404" width="15" style="1" bestFit="1" customWidth="1"/>
    <col min="6405" max="6405" width="15" style="1" customWidth="1"/>
    <col min="6406" max="6406" width="9.7109375" style="1" bestFit="1" customWidth="1"/>
    <col min="6407" max="6650" width="9.140625" style="1"/>
    <col min="6651" max="6651" width="71.5703125" style="1" customWidth="1"/>
    <col min="6652" max="6652" width="6.140625" style="1" customWidth="1"/>
    <col min="6653" max="6653" width="7.42578125" style="1" bestFit="1" customWidth="1"/>
    <col min="6654" max="6654" width="16.5703125" style="1" customWidth="1"/>
    <col min="6655" max="6655" width="8.140625" style="1" bestFit="1" customWidth="1"/>
    <col min="6656" max="6656" width="19.28515625" style="1" customWidth="1"/>
    <col min="6657" max="6658" width="0" style="1" hidden="1" customWidth="1"/>
    <col min="6659" max="6659" width="15.42578125" style="1" bestFit="1" customWidth="1"/>
    <col min="6660" max="6660" width="15" style="1" bestFit="1" customWidth="1"/>
    <col min="6661" max="6661" width="15" style="1" customWidth="1"/>
    <col min="6662" max="6662" width="9.7109375" style="1" bestFit="1" customWidth="1"/>
    <col min="6663" max="6906" width="9.140625" style="1"/>
    <col min="6907" max="6907" width="71.5703125" style="1" customWidth="1"/>
    <col min="6908" max="6908" width="6.140625" style="1" customWidth="1"/>
    <col min="6909" max="6909" width="7.42578125" style="1" bestFit="1" customWidth="1"/>
    <col min="6910" max="6910" width="16.5703125" style="1" customWidth="1"/>
    <col min="6911" max="6911" width="8.140625" style="1" bestFit="1" customWidth="1"/>
    <col min="6912" max="6912" width="19.28515625" style="1" customWidth="1"/>
    <col min="6913" max="6914" width="0" style="1" hidden="1" customWidth="1"/>
    <col min="6915" max="6915" width="15.42578125" style="1" bestFit="1" customWidth="1"/>
    <col min="6916" max="6916" width="15" style="1" bestFit="1" customWidth="1"/>
    <col min="6917" max="6917" width="15" style="1" customWidth="1"/>
    <col min="6918" max="6918" width="9.7109375" style="1" bestFit="1" customWidth="1"/>
    <col min="6919" max="7162" width="9.140625" style="1"/>
    <col min="7163" max="7163" width="71.5703125" style="1" customWidth="1"/>
    <col min="7164" max="7164" width="6.140625" style="1" customWidth="1"/>
    <col min="7165" max="7165" width="7.42578125" style="1" bestFit="1" customWidth="1"/>
    <col min="7166" max="7166" width="16.5703125" style="1" customWidth="1"/>
    <col min="7167" max="7167" width="8.140625" style="1" bestFit="1" customWidth="1"/>
    <col min="7168" max="7168" width="19.28515625" style="1" customWidth="1"/>
    <col min="7169" max="7170" width="0" style="1" hidden="1" customWidth="1"/>
    <col min="7171" max="7171" width="15.42578125" style="1" bestFit="1" customWidth="1"/>
    <col min="7172" max="7172" width="15" style="1" bestFit="1" customWidth="1"/>
    <col min="7173" max="7173" width="15" style="1" customWidth="1"/>
    <col min="7174" max="7174" width="9.7109375" style="1" bestFit="1" customWidth="1"/>
    <col min="7175" max="7418" width="9.140625" style="1"/>
    <col min="7419" max="7419" width="71.5703125" style="1" customWidth="1"/>
    <col min="7420" max="7420" width="6.140625" style="1" customWidth="1"/>
    <col min="7421" max="7421" width="7.42578125" style="1" bestFit="1" customWidth="1"/>
    <col min="7422" max="7422" width="16.5703125" style="1" customWidth="1"/>
    <col min="7423" max="7423" width="8.140625" style="1" bestFit="1" customWidth="1"/>
    <col min="7424" max="7424" width="19.28515625" style="1" customWidth="1"/>
    <col min="7425" max="7426" width="0" style="1" hidden="1" customWidth="1"/>
    <col min="7427" max="7427" width="15.42578125" style="1" bestFit="1" customWidth="1"/>
    <col min="7428" max="7428" width="15" style="1" bestFit="1" customWidth="1"/>
    <col min="7429" max="7429" width="15" style="1" customWidth="1"/>
    <col min="7430" max="7430" width="9.7109375" style="1" bestFit="1" customWidth="1"/>
    <col min="7431" max="7674" width="9.140625" style="1"/>
    <col min="7675" max="7675" width="71.5703125" style="1" customWidth="1"/>
    <col min="7676" max="7676" width="6.140625" style="1" customWidth="1"/>
    <col min="7677" max="7677" width="7.42578125" style="1" bestFit="1" customWidth="1"/>
    <col min="7678" max="7678" width="16.5703125" style="1" customWidth="1"/>
    <col min="7679" max="7679" width="8.140625" style="1" bestFit="1" customWidth="1"/>
    <col min="7680" max="7680" width="19.28515625" style="1" customWidth="1"/>
    <col min="7681" max="7682" width="0" style="1" hidden="1" customWidth="1"/>
    <col min="7683" max="7683" width="15.42578125" style="1" bestFit="1" customWidth="1"/>
    <col min="7684" max="7684" width="15" style="1" bestFit="1" customWidth="1"/>
    <col min="7685" max="7685" width="15" style="1" customWidth="1"/>
    <col min="7686" max="7686" width="9.7109375" style="1" bestFit="1" customWidth="1"/>
    <col min="7687" max="7930" width="9.140625" style="1"/>
    <col min="7931" max="7931" width="71.5703125" style="1" customWidth="1"/>
    <col min="7932" max="7932" width="6.140625" style="1" customWidth="1"/>
    <col min="7933" max="7933" width="7.42578125" style="1" bestFit="1" customWidth="1"/>
    <col min="7934" max="7934" width="16.5703125" style="1" customWidth="1"/>
    <col min="7935" max="7935" width="8.140625" style="1" bestFit="1" customWidth="1"/>
    <col min="7936" max="7936" width="19.28515625" style="1" customWidth="1"/>
    <col min="7937" max="7938" width="0" style="1" hidden="1" customWidth="1"/>
    <col min="7939" max="7939" width="15.42578125" style="1" bestFit="1" customWidth="1"/>
    <col min="7940" max="7940" width="15" style="1" bestFit="1" customWidth="1"/>
    <col min="7941" max="7941" width="15" style="1" customWidth="1"/>
    <col min="7942" max="7942" width="9.7109375" style="1" bestFit="1" customWidth="1"/>
    <col min="7943" max="8186" width="9.140625" style="1"/>
    <col min="8187" max="8187" width="71.5703125" style="1" customWidth="1"/>
    <col min="8188" max="8188" width="6.140625" style="1" customWidth="1"/>
    <col min="8189" max="8189" width="7.42578125" style="1" bestFit="1" customWidth="1"/>
    <col min="8190" max="8190" width="16.5703125" style="1" customWidth="1"/>
    <col min="8191" max="8191" width="8.140625" style="1" bestFit="1" customWidth="1"/>
    <col min="8192" max="8192" width="19.28515625" style="1" customWidth="1"/>
    <col min="8193" max="8194" width="0" style="1" hidden="1" customWidth="1"/>
    <col min="8195" max="8195" width="15.42578125" style="1" bestFit="1" customWidth="1"/>
    <col min="8196" max="8196" width="15" style="1" bestFit="1" customWidth="1"/>
    <col min="8197" max="8197" width="15" style="1" customWidth="1"/>
    <col min="8198" max="8198" width="9.7109375" style="1" bestFit="1" customWidth="1"/>
    <col min="8199" max="8442" width="9.140625" style="1"/>
    <col min="8443" max="8443" width="71.5703125" style="1" customWidth="1"/>
    <col min="8444" max="8444" width="6.140625" style="1" customWidth="1"/>
    <col min="8445" max="8445" width="7.42578125" style="1" bestFit="1" customWidth="1"/>
    <col min="8446" max="8446" width="16.5703125" style="1" customWidth="1"/>
    <col min="8447" max="8447" width="8.140625" style="1" bestFit="1" customWidth="1"/>
    <col min="8448" max="8448" width="19.28515625" style="1" customWidth="1"/>
    <col min="8449" max="8450" width="0" style="1" hidden="1" customWidth="1"/>
    <col min="8451" max="8451" width="15.42578125" style="1" bestFit="1" customWidth="1"/>
    <col min="8452" max="8452" width="15" style="1" bestFit="1" customWidth="1"/>
    <col min="8453" max="8453" width="15" style="1" customWidth="1"/>
    <col min="8454" max="8454" width="9.7109375" style="1" bestFit="1" customWidth="1"/>
    <col min="8455" max="8698" width="9.140625" style="1"/>
    <col min="8699" max="8699" width="71.5703125" style="1" customWidth="1"/>
    <col min="8700" max="8700" width="6.140625" style="1" customWidth="1"/>
    <col min="8701" max="8701" width="7.42578125" style="1" bestFit="1" customWidth="1"/>
    <col min="8702" max="8702" width="16.5703125" style="1" customWidth="1"/>
    <col min="8703" max="8703" width="8.140625" style="1" bestFit="1" customWidth="1"/>
    <col min="8704" max="8704" width="19.28515625" style="1" customWidth="1"/>
    <col min="8705" max="8706" width="0" style="1" hidden="1" customWidth="1"/>
    <col min="8707" max="8707" width="15.42578125" style="1" bestFit="1" customWidth="1"/>
    <col min="8708" max="8708" width="15" style="1" bestFit="1" customWidth="1"/>
    <col min="8709" max="8709" width="15" style="1" customWidth="1"/>
    <col min="8710" max="8710" width="9.7109375" style="1" bestFit="1" customWidth="1"/>
    <col min="8711" max="8954" width="9.140625" style="1"/>
    <col min="8955" max="8955" width="71.5703125" style="1" customWidth="1"/>
    <col min="8956" max="8956" width="6.140625" style="1" customWidth="1"/>
    <col min="8957" max="8957" width="7.42578125" style="1" bestFit="1" customWidth="1"/>
    <col min="8958" max="8958" width="16.5703125" style="1" customWidth="1"/>
    <col min="8959" max="8959" width="8.140625" style="1" bestFit="1" customWidth="1"/>
    <col min="8960" max="8960" width="19.28515625" style="1" customWidth="1"/>
    <col min="8961" max="8962" width="0" style="1" hidden="1" customWidth="1"/>
    <col min="8963" max="8963" width="15.42578125" style="1" bestFit="1" customWidth="1"/>
    <col min="8964" max="8964" width="15" style="1" bestFit="1" customWidth="1"/>
    <col min="8965" max="8965" width="15" style="1" customWidth="1"/>
    <col min="8966" max="8966" width="9.7109375" style="1" bestFit="1" customWidth="1"/>
    <col min="8967" max="9210" width="9.140625" style="1"/>
    <col min="9211" max="9211" width="71.5703125" style="1" customWidth="1"/>
    <col min="9212" max="9212" width="6.140625" style="1" customWidth="1"/>
    <col min="9213" max="9213" width="7.42578125" style="1" bestFit="1" customWidth="1"/>
    <col min="9214" max="9214" width="16.5703125" style="1" customWidth="1"/>
    <col min="9215" max="9215" width="8.140625" style="1" bestFit="1" customWidth="1"/>
    <col min="9216" max="9216" width="19.28515625" style="1" customWidth="1"/>
    <col min="9217" max="9218" width="0" style="1" hidden="1" customWidth="1"/>
    <col min="9219" max="9219" width="15.42578125" style="1" bestFit="1" customWidth="1"/>
    <col min="9220" max="9220" width="15" style="1" bestFit="1" customWidth="1"/>
    <col min="9221" max="9221" width="15" style="1" customWidth="1"/>
    <col min="9222" max="9222" width="9.7109375" style="1" bestFit="1" customWidth="1"/>
    <col min="9223" max="9466" width="9.140625" style="1"/>
    <col min="9467" max="9467" width="71.5703125" style="1" customWidth="1"/>
    <col min="9468" max="9468" width="6.140625" style="1" customWidth="1"/>
    <col min="9469" max="9469" width="7.42578125" style="1" bestFit="1" customWidth="1"/>
    <col min="9470" max="9470" width="16.5703125" style="1" customWidth="1"/>
    <col min="9471" max="9471" width="8.140625" style="1" bestFit="1" customWidth="1"/>
    <col min="9472" max="9472" width="19.28515625" style="1" customWidth="1"/>
    <col min="9473" max="9474" width="0" style="1" hidden="1" customWidth="1"/>
    <col min="9475" max="9475" width="15.42578125" style="1" bestFit="1" customWidth="1"/>
    <col min="9476" max="9476" width="15" style="1" bestFit="1" customWidth="1"/>
    <col min="9477" max="9477" width="15" style="1" customWidth="1"/>
    <col min="9478" max="9478" width="9.7109375" style="1" bestFit="1" customWidth="1"/>
    <col min="9479" max="9722" width="9.140625" style="1"/>
    <col min="9723" max="9723" width="71.5703125" style="1" customWidth="1"/>
    <col min="9724" max="9724" width="6.140625" style="1" customWidth="1"/>
    <col min="9725" max="9725" width="7.42578125" style="1" bestFit="1" customWidth="1"/>
    <col min="9726" max="9726" width="16.5703125" style="1" customWidth="1"/>
    <col min="9727" max="9727" width="8.140625" style="1" bestFit="1" customWidth="1"/>
    <col min="9728" max="9728" width="19.28515625" style="1" customWidth="1"/>
    <col min="9729" max="9730" width="0" style="1" hidden="1" customWidth="1"/>
    <col min="9731" max="9731" width="15.42578125" style="1" bestFit="1" customWidth="1"/>
    <col min="9732" max="9732" width="15" style="1" bestFit="1" customWidth="1"/>
    <col min="9733" max="9733" width="15" style="1" customWidth="1"/>
    <col min="9734" max="9734" width="9.7109375" style="1" bestFit="1" customWidth="1"/>
    <col min="9735" max="9978" width="9.140625" style="1"/>
    <col min="9979" max="9979" width="71.5703125" style="1" customWidth="1"/>
    <col min="9980" max="9980" width="6.140625" style="1" customWidth="1"/>
    <col min="9981" max="9981" width="7.42578125" style="1" bestFit="1" customWidth="1"/>
    <col min="9982" max="9982" width="16.5703125" style="1" customWidth="1"/>
    <col min="9983" max="9983" width="8.140625" style="1" bestFit="1" customWidth="1"/>
    <col min="9984" max="9984" width="19.28515625" style="1" customWidth="1"/>
    <col min="9985" max="9986" width="0" style="1" hidden="1" customWidth="1"/>
    <col min="9987" max="9987" width="15.42578125" style="1" bestFit="1" customWidth="1"/>
    <col min="9988" max="9988" width="15" style="1" bestFit="1" customWidth="1"/>
    <col min="9989" max="9989" width="15" style="1" customWidth="1"/>
    <col min="9990" max="9990" width="9.7109375" style="1" bestFit="1" customWidth="1"/>
    <col min="9991" max="10234" width="9.140625" style="1"/>
    <col min="10235" max="10235" width="71.5703125" style="1" customWidth="1"/>
    <col min="10236" max="10236" width="6.140625" style="1" customWidth="1"/>
    <col min="10237" max="10237" width="7.42578125" style="1" bestFit="1" customWidth="1"/>
    <col min="10238" max="10238" width="16.5703125" style="1" customWidth="1"/>
    <col min="10239" max="10239" width="8.140625" style="1" bestFit="1" customWidth="1"/>
    <col min="10240" max="10240" width="19.28515625" style="1" customWidth="1"/>
    <col min="10241" max="10242" width="0" style="1" hidden="1" customWidth="1"/>
    <col min="10243" max="10243" width="15.42578125" style="1" bestFit="1" customWidth="1"/>
    <col min="10244" max="10244" width="15" style="1" bestFit="1" customWidth="1"/>
    <col min="10245" max="10245" width="15" style="1" customWidth="1"/>
    <col min="10246" max="10246" width="9.7109375" style="1" bestFit="1" customWidth="1"/>
    <col min="10247" max="10490" width="9.140625" style="1"/>
    <col min="10491" max="10491" width="71.5703125" style="1" customWidth="1"/>
    <col min="10492" max="10492" width="6.140625" style="1" customWidth="1"/>
    <col min="10493" max="10493" width="7.42578125" style="1" bestFit="1" customWidth="1"/>
    <col min="10494" max="10494" width="16.5703125" style="1" customWidth="1"/>
    <col min="10495" max="10495" width="8.140625" style="1" bestFit="1" customWidth="1"/>
    <col min="10496" max="10496" width="19.28515625" style="1" customWidth="1"/>
    <col min="10497" max="10498" width="0" style="1" hidden="1" customWidth="1"/>
    <col min="10499" max="10499" width="15.42578125" style="1" bestFit="1" customWidth="1"/>
    <col min="10500" max="10500" width="15" style="1" bestFit="1" customWidth="1"/>
    <col min="10501" max="10501" width="15" style="1" customWidth="1"/>
    <col min="10502" max="10502" width="9.7109375" style="1" bestFit="1" customWidth="1"/>
    <col min="10503" max="10746" width="9.140625" style="1"/>
    <col min="10747" max="10747" width="71.5703125" style="1" customWidth="1"/>
    <col min="10748" max="10748" width="6.140625" style="1" customWidth="1"/>
    <col min="10749" max="10749" width="7.42578125" style="1" bestFit="1" customWidth="1"/>
    <col min="10750" max="10750" width="16.5703125" style="1" customWidth="1"/>
    <col min="10751" max="10751" width="8.140625" style="1" bestFit="1" customWidth="1"/>
    <col min="10752" max="10752" width="19.28515625" style="1" customWidth="1"/>
    <col min="10753" max="10754" width="0" style="1" hidden="1" customWidth="1"/>
    <col min="10755" max="10755" width="15.42578125" style="1" bestFit="1" customWidth="1"/>
    <col min="10756" max="10756" width="15" style="1" bestFit="1" customWidth="1"/>
    <col min="10757" max="10757" width="15" style="1" customWidth="1"/>
    <col min="10758" max="10758" width="9.7109375" style="1" bestFit="1" customWidth="1"/>
    <col min="10759" max="11002" width="9.140625" style="1"/>
    <col min="11003" max="11003" width="71.5703125" style="1" customWidth="1"/>
    <col min="11004" max="11004" width="6.140625" style="1" customWidth="1"/>
    <col min="11005" max="11005" width="7.42578125" style="1" bestFit="1" customWidth="1"/>
    <col min="11006" max="11006" width="16.5703125" style="1" customWidth="1"/>
    <col min="11007" max="11007" width="8.140625" style="1" bestFit="1" customWidth="1"/>
    <col min="11008" max="11008" width="19.28515625" style="1" customWidth="1"/>
    <col min="11009" max="11010" width="0" style="1" hidden="1" customWidth="1"/>
    <col min="11011" max="11011" width="15.42578125" style="1" bestFit="1" customWidth="1"/>
    <col min="11012" max="11012" width="15" style="1" bestFit="1" customWidth="1"/>
    <col min="11013" max="11013" width="15" style="1" customWidth="1"/>
    <col min="11014" max="11014" width="9.7109375" style="1" bestFit="1" customWidth="1"/>
    <col min="11015" max="11258" width="9.140625" style="1"/>
    <col min="11259" max="11259" width="71.5703125" style="1" customWidth="1"/>
    <col min="11260" max="11260" width="6.140625" style="1" customWidth="1"/>
    <col min="11261" max="11261" width="7.42578125" style="1" bestFit="1" customWidth="1"/>
    <col min="11262" max="11262" width="16.5703125" style="1" customWidth="1"/>
    <col min="11263" max="11263" width="8.140625" style="1" bestFit="1" customWidth="1"/>
    <col min="11264" max="11264" width="19.28515625" style="1" customWidth="1"/>
    <col min="11265" max="11266" width="0" style="1" hidden="1" customWidth="1"/>
    <col min="11267" max="11267" width="15.42578125" style="1" bestFit="1" customWidth="1"/>
    <col min="11268" max="11268" width="15" style="1" bestFit="1" customWidth="1"/>
    <col min="11269" max="11269" width="15" style="1" customWidth="1"/>
    <col min="11270" max="11270" width="9.7109375" style="1" bestFit="1" customWidth="1"/>
    <col min="11271" max="11514" width="9.140625" style="1"/>
    <col min="11515" max="11515" width="71.5703125" style="1" customWidth="1"/>
    <col min="11516" max="11516" width="6.140625" style="1" customWidth="1"/>
    <col min="11517" max="11517" width="7.42578125" style="1" bestFit="1" customWidth="1"/>
    <col min="11518" max="11518" width="16.5703125" style="1" customWidth="1"/>
    <col min="11519" max="11519" width="8.140625" style="1" bestFit="1" customWidth="1"/>
    <col min="11520" max="11520" width="19.28515625" style="1" customWidth="1"/>
    <col min="11521" max="11522" width="0" style="1" hidden="1" customWidth="1"/>
    <col min="11523" max="11523" width="15.42578125" style="1" bestFit="1" customWidth="1"/>
    <col min="11524" max="11524" width="15" style="1" bestFit="1" customWidth="1"/>
    <col min="11525" max="11525" width="15" style="1" customWidth="1"/>
    <col min="11526" max="11526" width="9.7109375" style="1" bestFit="1" customWidth="1"/>
    <col min="11527" max="11770" width="9.140625" style="1"/>
    <col min="11771" max="11771" width="71.5703125" style="1" customWidth="1"/>
    <col min="11772" max="11772" width="6.140625" style="1" customWidth="1"/>
    <col min="11773" max="11773" width="7.42578125" style="1" bestFit="1" customWidth="1"/>
    <col min="11774" max="11774" width="16.5703125" style="1" customWidth="1"/>
    <col min="11775" max="11775" width="8.140625" style="1" bestFit="1" customWidth="1"/>
    <col min="11776" max="11776" width="19.28515625" style="1" customWidth="1"/>
    <col min="11777" max="11778" width="0" style="1" hidden="1" customWidth="1"/>
    <col min="11779" max="11779" width="15.42578125" style="1" bestFit="1" customWidth="1"/>
    <col min="11780" max="11780" width="15" style="1" bestFit="1" customWidth="1"/>
    <col min="11781" max="11781" width="15" style="1" customWidth="1"/>
    <col min="11782" max="11782" width="9.7109375" style="1" bestFit="1" customWidth="1"/>
    <col min="11783" max="12026" width="9.140625" style="1"/>
    <col min="12027" max="12027" width="71.5703125" style="1" customWidth="1"/>
    <col min="12028" max="12028" width="6.140625" style="1" customWidth="1"/>
    <col min="12029" max="12029" width="7.42578125" style="1" bestFit="1" customWidth="1"/>
    <col min="12030" max="12030" width="16.5703125" style="1" customWidth="1"/>
    <col min="12031" max="12031" width="8.140625" style="1" bestFit="1" customWidth="1"/>
    <col min="12032" max="12032" width="19.28515625" style="1" customWidth="1"/>
    <col min="12033" max="12034" width="0" style="1" hidden="1" customWidth="1"/>
    <col min="12035" max="12035" width="15.42578125" style="1" bestFit="1" customWidth="1"/>
    <col min="12036" max="12036" width="15" style="1" bestFit="1" customWidth="1"/>
    <col min="12037" max="12037" width="15" style="1" customWidth="1"/>
    <col min="12038" max="12038" width="9.7109375" style="1" bestFit="1" customWidth="1"/>
    <col min="12039" max="12282" width="9.140625" style="1"/>
    <col min="12283" max="12283" width="71.5703125" style="1" customWidth="1"/>
    <col min="12284" max="12284" width="6.140625" style="1" customWidth="1"/>
    <col min="12285" max="12285" width="7.42578125" style="1" bestFit="1" customWidth="1"/>
    <col min="12286" max="12286" width="16.5703125" style="1" customWidth="1"/>
    <col min="12287" max="12287" width="8.140625" style="1" bestFit="1" customWidth="1"/>
    <col min="12288" max="12288" width="19.28515625" style="1" customWidth="1"/>
    <col min="12289" max="12290" width="0" style="1" hidden="1" customWidth="1"/>
    <col min="12291" max="12291" width="15.42578125" style="1" bestFit="1" customWidth="1"/>
    <col min="12292" max="12292" width="15" style="1" bestFit="1" customWidth="1"/>
    <col min="12293" max="12293" width="15" style="1" customWidth="1"/>
    <col min="12294" max="12294" width="9.7109375" style="1" bestFit="1" customWidth="1"/>
    <col min="12295" max="12538" width="9.140625" style="1"/>
    <col min="12539" max="12539" width="71.5703125" style="1" customWidth="1"/>
    <col min="12540" max="12540" width="6.140625" style="1" customWidth="1"/>
    <col min="12541" max="12541" width="7.42578125" style="1" bestFit="1" customWidth="1"/>
    <col min="12542" max="12542" width="16.5703125" style="1" customWidth="1"/>
    <col min="12543" max="12543" width="8.140625" style="1" bestFit="1" customWidth="1"/>
    <col min="12544" max="12544" width="19.28515625" style="1" customWidth="1"/>
    <col min="12545" max="12546" width="0" style="1" hidden="1" customWidth="1"/>
    <col min="12547" max="12547" width="15.42578125" style="1" bestFit="1" customWidth="1"/>
    <col min="12548" max="12548" width="15" style="1" bestFit="1" customWidth="1"/>
    <col min="12549" max="12549" width="15" style="1" customWidth="1"/>
    <col min="12550" max="12550" width="9.7109375" style="1" bestFit="1" customWidth="1"/>
    <col min="12551" max="12794" width="9.140625" style="1"/>
    <col min="12795" max="12795" width="71.5703125" style="1" customWidth="1"/>
    <col min="12796" max="12796" width="6.140625" style="1" customWidth="1"/>
    <col min="12797" max="12797" width="7.42578125" style="1" bestFit="1" customWidth="1"/>
    <col min="12798" max="12798" width="16.5703125" style="1" customWidth="1"/>
    <col min="12799" max="12799" width="8.140625" style="1" bestFit="1" customWidth="1"/>
    <col min="12800" max="12800" width="19.28515625" style="1" customWidth="1"/>
    <col min="12801" max="12802" width="0" style="1" hidden="1" customWidth="1"/>
    <col min="12803" max="12803" width="15.42578125" style="1" bestFit="1" customWidth="1"/>
    <col min="12804" max="12804" width="15" style="1" bestFit="1" customWidth="1"/>
    <col min="12805" max="12805" width="15" style="1" customWidth="1"/>
    <col min="12806" max="12806" width="9.7109375" style="1" bestFit="1" customWidth="1"/>
    <col min="12807" max="13050" width="9.140625" style="1"/>
    <col min="13051" max="13051" width="71.5703125" style="1" customWidth="1"/>
    <col min="13052" max="13052" width="6.140625" style="1" customWidth="1"/>
    <col min="13053" max="13053" width="7.42578125" style="1" bestFit="1" customWidth="1"/>
    <col min="13054" max="13054" width="16.5703125" style="1" customWidth="1"/>
    <col min="13055" max="13055" width="8.140625" style="1" bestFit="1" customWidth="1"/>
    <col min="13056" max="13056" width="19.28515625" style="1" customWidth="1"/>
    <col min="13057" max="13058" width="0" style="1" hidden="1" customWidth="1"/>
    <col min="13059" max="13059" width="15.42578125" style="1" bestFit="1" customWidth="1"/>
    <col min="13060" max="13060" width="15" style="1" bestFit="1" customWidth="1"/>
    <col min="13061" max="13061" width="15" style="1" customWidth="1"/>
    <col min="13062" max="13062" width="9.7109375" style="1" bestFit="1" customWidth="1"/>
    <col min="13063" max="13306" width="9.140625" style="1"/>
    <col min="13307" max="13307" width="71.5703125" style="1" customWidth="1"/>
    <col min="13308" max="13308" width="6.140625" style="1" customWidth="1"/>
    <col min="13309" max="13309" width="7.42578125" style="1" bestFit="1" customWidth="1"/>
    <col min="13310" max="13310" width="16.5703125" style="1" customWidth="1"/>
    <col min="13311" max="13311" width="8.140625" style="1" bestFit="1" customWidth="1"/>
    <col min="13312" max="13312" width="19.28515625" style="1" customWidth="1"/>
    <col min="13313" max="13314" width="0" style="1" hidden="1" customWidth="1"/>
    <col min="13315" max="13315" width="15.42578125" style="1" bestFit="1" customWidth="1"/>
    <col min="13316" max="13316" width="15" style="1" bestFit="1" customWidth="1"/>
    <col min="13317" max="13317" width="15" style="1" customWidth="1"/>
    <col min="13318" max="13318" width="9.7109375" style="1" bestFit="1" customWidth="1"/>
    <col min="13319" max="13562" width="9.140625" style="1"/>
    <col min="13563" max="13563" width="71.5703125" style="1" customWidth="1"/>
    <col min="13564" max="13564" width="6.140625" style="1" customWidth="1"/>
    <col min="13565" max="13565" width="7.42578125" style="1" bestFit="1" customWidth="1"/>
    <col min="13566" max="13566" width="16.5703125" style="1" customWidth="1"/>
    <col min="13567" max="13567" width="8.140625" style="1" bestFit="1" customWidth="1"/>
    <col min="13568" max="13568" width="19.28515625" style="1" customWidth="1"/>
    <col min="13569" max="13570" width="0" style="1" hidden="1" customWidth="1"/>
    <col min="13571" max="13571" width="15.42578125" style="1" bestFit="1" customWidth="1"/>
    <col min="13572" max="13572" width="15" style="1" bestFit="1" customWidth="1"/>
    <col min="13573" max="13573" width="15" style="1" customWidth="1"/>
    <col min="13574" max="13574" width="9.7109375" style="1" bestFit="1" customWidth="1"/>
    <col min="13575" max="13818" width="9.140625" style="1"/>
    <col min="13819" max="13819" width="71.5703125" style="1" customWidth="1"/>
    <col min="13820" max="13820" width="6.140625" style="1" customWidth="1"/>
    <col min="13821" max="13821" width="7.42578125" style="1" bestFit="1" customWidth="1"/>
    <col min="13822" max="13822" width="16.5703125" style="1" customWidth="1"/>
    <col min="13823" max="13823" width="8.140625" style="1" bestFit="1" customWidth="1"/>
    <col min="13824" max="13824" width="19.28515625" style="1" customWidth="1"/>
    <col min="13825" max="13826" width="0" style="1" hidden="1" customWidth="1"/>
    <col min="13827" max="13827" width="15.42578125" style="1" bestFit="1" customWidth="1"/>
    <col min="13828" max="13828" width="15" style="1" bestFit="1" customWidth="1"/>
    <col min="13829" max="13829" width="15" style="1" customWidth="1"/>
    <col min="13830" max="13830" width="9.7109375" style="1" bestFit="1" customWidth="1"/>
    <col min="13831" max="14074" width="9.140625" style="1"/>
    <col min="14075" max="14075" width="71.5703125" style="1" customWidth="1"/>
    <col min="14076" max="14076" width="6.140625" style="1" customWidth="1"/>
    <col min="14077" max="14077" width="7.42578125" style="1" bestFit="1" customWidth="1"/>
    <col min="14078" max="14078" width="16.5703125" style="1" customWidth="1"/>
    <col min="14079" max="14079" width="8.140625" style="1" bestFit="1" customWidth="1"/>
    <col min="14080" max="14080" width="19.28515625" style="1" customWidth="1"/>
    <col min="14081" max="14082" width="0" style="1" hidden="1" customWidth="1"/>
    <col min="14083" max="14083" width="15.42578125" style="1" bestFit="1" customWidth="1"/>
    <col min="14084" max="14084" width="15" style="1" bestFit="1" customWidth="1"/>
    <col min="14085" max="14085" width="15" style="1" customWidth="1"/>
    <col min="14086" max="14086" width="9.7109375" style="1" bestFit="1" customWidth="1"/>
    <col min="14087" max="14330" width="9.140625" style="1"/>
    <col min="14331" max="14331" width="71.5703125" style="1" customWidth="1"/>
    <col min="14332" max="14332" width="6.140625" style="1" customWidth="1"/>
    <col min="14333" max="14333" width="7.42578125" style="1" bestFit="1" customWidth="1"/>
    <col min="14334" max="14334" width="16.5703125" style="1" customWidth="1"/>
    <col min="14335" max="14335" width="8.140625" style="1" bestFit="1" customWidth="1"/>
    <col min="14336" max="14336" width="19.28515625" style="1" customWidth="1"/>
    <col min="14337" max="14338" width="0" style="1" hidden="1" customWidth="1"/>
    <col min="14339" max="14339" width="15.42578125" style="1" bestFit="1" customWidth="1"/>
    <col min="14340" max="14340" width="15" style="1" bestFit="1" customWidth="1"/>
    <col min="14341" max="14341" width="15" style="1" customWidth="1"/>
    <col min="14342" max="14342" width="9.7109375" style="1" bestFit="1" customWidth="1"/>
    <col min="14343" max="14586" width="9.140625" style="1"/>
    <col min="14587" max="14587" width="71.5703125" style="1" customWidth="1"/>
    <col min="14588" max="14588" width="6.140625" style="1" customWidth="1"/>
    <col min="14589" max="14589" width="7.42578125" style="1" bestFit="1" customWidth="1"/>
    <col min="14590" max="14590" width="16.5703125" style="1" customWidth="1"/>
    <col min="14591" max="14591" width="8.140625" style="1" bestFit="1" customWidth="1"/>
    <col min="14592" max="14592" width="19.28515625" style="1" customWidth="1"/>
    <col min="14593" max="14594" width="0" style="1" hidden="1" customWidth="1"/>
    <col min="14595" max="14595" width="15.42578125" style="1" bestFit="1" customWidth="1"/>
    <col min="14596" max="14596" width="15" style="1" bestFit="1" customWidth="1"/>
    <col min="14597" max="14597" width="15" style="1" customWidth="1"/>
    <col min="14598" max="14598" width="9.7109375" style="1" bestFit="1" customWidth="1"/>
    <col min="14599" max="14842" width="9.140625" style="1"/>
    <col min="14843" max="14843" width="71.5703125" style="1" customWidth="1"/>
    <col min="14844" max="14844" width="6.140625" style="1" customWidth="1"/>
    <col min="14845" max="14845" width="7.42578125" style="1" bestFit="1" customWidth="1"/>
    <col min="14846" max="14846" width="16.5703125" style="1" customWidth="1"/>
    <col min="14847" max="14847" width="8.140625" style="1" bestFit="1" customWidth="1"/>
    <col min="14848" max="14848" width="19.28515625" style="1" customWidth="1"/>
    <col min="14849" max="14850" width="0" style="1" hidden="1" customWidth="1"/>
    <col min="14851" max="14851" width="15.42578125" style="1" bestFit="1" customWidth="1"/>
    <col min="14852" max="14852" width="15" style="1" bestFit="1" customWidth="1"/>
    <col min="14853" max="14853" width="15" style="1" customWidth="1"/>
    <col min="14854" max="14854" width="9.7109375" style="1" bestFit="1" customWidth="1"/>
    <col min="14855" max="15098" width="9.140625" style="1"/>
    <col min="15099" max="15099" width="71.5703125" style="1" customWidth="1"/>
    <col min="15100" max="15100" width="6.140625" style="1" customWidth="1"/>
    <col min="15101" max="15101" width="7.42578125" style="1" bestFit="1" customWidth="1"/>
    <col min="15102" max="15102" width="16.5703125" style="1" customWidth="1"/>
    <col min="15103" max="15103" width="8.140625" style="1" bestFit="1" customWidth="1"/>
    <col min="15104" max="15104" width="19.28515625" style="1" customWidth="1"/>
    <col min="15105" max="15106" width="0" style="1" hidden="1" customWidth="1"/>
    <col min="15107" max="15107" width="15.42578125" style="1" bestFit="1" customWidth="1"/>
    <col min="15108" max="15108" width="15" style="1" bestFit="1" customWidth="1"/>
    <col min="15109" max="15109" width="15" style="1" customWidth="1"/>
    <col min="15110" max="15110" width="9.7109375" style="1" bestFit="1" customWidth="1"/>
    <col min="15111" max="15354" width="9.140625" style="1"/>
    <col min="15355" max="15355" width="71.5703125" style="1" customWidth="1"/>
    <col min="15356" max="15356" width="6.140625" style="1" customWidth="1"/>
    <col min="15357" max="15357" width="7.42578125" style="1" bestFit="1" customWidth="1"/>
    <col min="15358" max="15358" width="16.5703125" style="1" customWidth="1"/>
    <col min="15359" max="15359" width="8.140625" style="1" bestFit="1" customWidth="1"/>
    <col min="15360" max="15360" width="19.28515625" style="1" customWidth="1"/>
    <col min="15361" max="15362" width="0" style="1" hidden="1" customWidth="1"/>
    <col min="15363" max="15363" width="15.42578125" style="1" bestFit="1" customWidth="1"/>
    <col min="15364" max="15364" width="15" style="1" bestFit="1" customWidth="1"/>
    <col min="15365" max="15365" width="15" style="1" customWidth="1"/>
    <col min="15366" max="15366" width="9.7109375" style="1" bestFit="1" customWidth="1"/>
    <col min="15367" max="15610" width="9.140625" style="1"/>
    <col min="15611" max="15611" width="71.5703125" style="1" customWidth="1"/>
    <col min="15612" max="15612" width="6.140625" style="1" customWidth="1"/>
    <col min="15613" max="15613" width="7.42578125" style="1" bestFit="1" customWidth="1"/>
    <col min="15614" max="15614" width="16.5703125" style="1" customWidth="1"/>
    <col min="15615" max="15615" width="8.140625" style="1" bestFit="1" customWidth="1"/>
    <col min="15616" max="15616" width="19.28515625" style="1" customWidth="1"/>
    <col min="15617" max="15618" width="0" style="1" hidden="1" customWidth="1"/>
    <col min="15619" max="15619" width="15.42578125" style="1" bestFit="1" customWidth="1"/>
    <col min="15620" max="15620" width="15" style="1" bestFit="1" customWidth="1"/>
    <col min="15621" max="15621" width="15" style="1" customWidth="1"/>
    <col min="15622" max="15622" width="9.7109375" style="1" bestFit="1" customWidth="1"/>
    <col min="15623" max="15866" width="9.140625" style="1"/>
    <col min="15867" max="15867" width="71.5703125" style="1" customWidth="1"/>
    <col min="15868" max="15868" width="6.140625" style="1" customWidth="1"/>
    <col min="15869" max="15869" width="7.42578125" style="1" bestFit="1" customWidth="1"/>
    <col min="15870" max="15870" width="16.5703125" style="1" customWidth="1"/>
    <col min="15871" max="15871" width="8.140625" style="1" bestFit="1" customWidth="1"/>
    <col min="15872" max="15872" width="19.28515625" style="1" customWidth="1"/>
    <col min="15873" max="15874" width="0" style="1" hidden="1" customWidth="1"/>
    <col min="15875" max="15875" width="15.42578125" style="1" bestFit="1" customWidth="1"/>
    <col min="15876" max="15876" width="15" style="1" bestFit="1" customWidth="1"/>
    <col min="15877" max="15877" width="15" style="1" customWidth="1"/>
    <col min="15878" max="15878" width="9.7109375" style="1" bestFit="1" customWidth="1"/>
    <col min="15879" max="16122" width="9.140625" style="1"/>
    <col min="16123" max="16123" width="71.5703125" style="1" customWidth="1"/>
    <col min="16124" max="16124" width="6.140625" style="1" customWidth="1"/>
    <col min="16125" max="16125" width="7.42578125" style="1" bestFit="1" customWidth="1"/>
    <col min="16126" max="16126" width="16.5703125" style="1" customWidth="1"/>
    <col min="16127" max="16127" width="8.140625" style="1" bestFit="1" customWidth="1"/>
    <col min="16128" max="16128" width="19.28515625" style="1" customWidth="1"/>
    <col min="16129" max="16130" width="0" style="1" hidden="1" customWidth="1"/>
    <col min="16131" max="16131" width="15.42578125" style="1" bestFit="1" customWidth="1"/>
    <col min="16132" max="16132" width="15" style="1" bestFit="1" customWidth="1"/>
    <col min="16133" max="16133" width="15" style="1" customWidth="1"/>
    <col min="16134" max="16134" width="9.7109375" style="1" bestFit="1" customWidth="1"/>
    <col min="16135" max="16384" width="9.140625" style="1"/>
  </cols>
  <sheetData>
    <row r="2" spans="1:11" ht="15.75" x14ac:dyDescent="0.25">
      <c r="I2" s="170" t="s">
        <v>191</v>
      </c>
    </row>
    <row r="3" spans="1:11" ht="15.75" x14ac:dyDescent="0.25">
      <c r="I3" s="170" t="s">
        <v>192</v>
      </c>
    </row>
    <row r="4" spans="1:11" ht="15.75" x14ac:dyDescent="0.25">
      <c r="I4" s="170" t="s">
        <v>17</v>
      </c>
      <c r="J4" s="171"/>
      <c r="K4" s="171"/>
    </row>
    <row r="5" spans="1:11" ht="15.75" x14ac:dyDescent="0.25">
      <c r="I5" s="170" t="s">
        <v>18</v>
      </c>
      <c r="J5" s="171"/>
      <c r="K5" s="171"/>
    </row>
    <row r="6" spans="1:11" ht="15.75" x14ac:dyDescent="0.25">
      <c r="I6" s="170" t="s">
        <v>19</v>
      </c>
      <c r="J6" s="171"/>
      <c r="K6" s="171"/>
    </row>
    <row r="7" spans="1:11" ht="15.75" x14ac:dyDescent="0.25">
      <c r="I7" s="170" t="s">
        <v>699</v>
      </c>
      <c r="J7" s="171"/>
      <c r="K7" s="171"/>
    </row>
    <row r="8" spans="1:11" ht="15.75" x14ac:dyDescent="0.25">
      <c r="I8" s="170" t="s">
        <v>700</v>
      </c>
      <c r="J8" s="171"/>
      <c r="K8" s="171"/>
    </row>
    <row r="9" spans="1:11" ht="15.75" customHeight="1" x14ac:dyDescent="0.25"/>
    <row r="10" spans="1:11" ht="42" customHeight="1" x14ac:dyDescent="0.25">
      <c r="A10" s="390" t="s">
        <v>436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77"/>
    </row>
    <row r="11" spans="1:11" x14ac:dyDescent="0.25">
      <c r="J11" s="57" t="s">
        <v>299</v>
      </c>
      <c r="K11" s="57"/>
    </row>
    <row r="12" spans="1:11" s="91" customFormat="1" ht="60" x14ac:dyDescent="0.25">
      <c r="A12" s="58" t="s">
        <v>21</v>
      </c>
      <c r="B12" s="59" t="s">
        <v>300</v>
      </c>
      <c r="C12" s="59" t="s">
        <v>193</v>
      </c>
      <c r="D12" s="59" t="s">
        <v>301</v>
      </c>
      <c r="E12" s="59" t="s">
        <v>302</v>
      </c>
      <c r="F12" s="73" t="s">
        <v>166</v>
      </c>
      <c r="G12" s="73" t="s">
        <v>303</v>
      </c>
      <c r="H12" s="60" t="s">
        <v>22</v>
      </c>
      <c r="I12" s="60" t="s">
        <v>152</v>
      </c>
      <c r="J12" s="60" t="s">
        <v>434</v>
      </c>
      <c r="K12" s="274"/>
    </row>
    <row r="13" spans="1:11" s="90" customFormat="1" ht="15.75" x14ac:dyDescent="0.25">
      <c r="A13" s="61" t="s">
        <v>304</v>
      </c>
      <c r="B13" s="62"/>
      <c r="C13" s="62"/>
      <c r="D13" s="62"/>
      <c r="E13" s="62"/>
      <c r="F13" s="172"/>
      <c r="G13" s="172"/>
      <c r="H13" s="63">
        <f>H14</f>
        <v>2127405775.1099997</v>
      </c>
      <c r="I13" s="63">
        <f>I14</f>
        <v>1575697442.51</v>
      </c>
      <c r="J13" s="63">
        <f>J14</f>
        <v>1592283301.51</v>
      </c>
      <c r="K13" s="275"/>
    </row>
    <row r="14" spans="1:11" s="173" customFormat="1" ht="31.5" x14ac:dyDescent="0.2">
      <c r="A14" s="61" t="s">
        <v>295</v>
      </c>
      <c r="B14" s="62">
        <v>701</v>
      </c>
      <c r="C14" s="62"/>
      <c r="D14" s="62"/>
      <c r="E14" s="62"/>
      <c r="F14" s="172"/>
      <c r="G14" s="172"/>
      <c r="H14" s="63">
        <f>H15+H54+H63+H114+H195+H212+H266+H277</f>
        <v>2127405775.1099997</v>
      </c>
      <c r="I14" s="63">
        <f>I15+I54+I63+I114+I195+I212+I266+I277</f>
        <v>1575697442.51</v>
      </c>
      <c r="J14" s="63">
        <f>J15+J54+J63+J114+J195+J212+J266+J277</f>
        <v>1592283301.51</v>
      </c>
      <c r="K14" s="275"/>
    </row>
    <row r="15" spans="1:11" s="173" customFormat="1" ht="15.75" x14ac:dyDescent="0.2">
      <c r="A15" s="174" t="s">
        <v>196</v>
      </c>
      <c r="B15" s="175" t="s">
        <v>0</v>
      </c>
      <c r="C15" s="76" t="s">
        <v>197</v>
      </c>
      <c r="D15" s="76"/>
      <c r="E15" s="62"/>
      <c r="F15" s="172"/>
      <c r="G15" s="172"/>
      <c r="H15" s="63">
        <f>H16+H27+H33+H23</f>
        <v>14775988.859999999</v>
      </c>
      <c r="I15" s="63">
        <f>I16+I27+I33+I23</f>
        <v>3879060.32</v>
      </c>
      <c r="J15" s="63">
        <f>J16+J27+J33+J23</f>
        <v>3879060.32</v>
      </c>
      <c r="K15" s="275"/>
    </row>
    <row r="16" spans="1:11" s="173" customFormat="1" ht="63" x14ac:dyDescent="0.2">
      <c r="A16" s="176" t="s">
        <v>210</v>
      </c>
      <c r="B16" s="177" t="s">
        <v>0</v>
      </c>
      <c r="C16" s="76" t="s">
        <v>197</v>
      </c>
      <c r="D16" s="83" t="s">
        <v>211</v>
      </c>
      <c r="E16" s="83"/>
      <c r="F16" s="178"/>
      <c r="G16" s="178"/>
      <c r="H16" s="63">
        <f t="shared" ref="H16:J18" si="0">H17</f>
        <v>3399462.23</v>
      </c>
      <c r="I16" s="63">
        <f t="shared" si="0"/>
        <v>0</v>
      </c>
      <c r="J16" s="63">
        <f t="shared" si="0"/>
        <v>0</v>
      </c>
      <c r="K16" s="275"/>
    </row>
    <row r="17" spans="1:11" s="173" customFormat="1" ht="15.75" x14ac:dyDescent="0.25">
      <c r="A17" s="82" t="s">
        <v>200</v>
      </c>
      <c r="B17" s="179" t="s">
        <v>0</v>
      </c>
      <c r="C17" s="76" t="s">
        <v>197</v>
      </c>
      <c r="D17" s="83" t="s">
        <v>211</v>
      </c>
      <c r="E17" s="83" t="s">
        <v>201</v>
      </c>
      <c r="F17" s="178"/>
      <c r="G17" s="178"/>
      <c r="H17" s="63">
        <f t="shared" si="0"/>
        <v>3399462.23</v>
      </c>
      <c r="I17" s="63">
        <f t="shared" si="0"/>
        <v>0</v>
      </c>
      <c r="J17" s="63">
        <f t="shared" si="0"/>
        <v>0</v>
      </c>
      <c r="K17" s="275"/>
    </row>
    <row r="18" spans="1:11" s="173" customFormat="1" ht="30" x14ac:dyDescent="0.2">
      <c r="A18" s="72" t="s">
        <v>305</v>
      </c>
      <c r="B18" s="180" t="s">
        <v>0</v>
      </c>
      <c r="C18" s="71" t="s">
        <v>197</v>
      </c>
      <c r="D18" s="84" t="s">
        <v>211</v>
      </c>
      <c r="E18" s="84" t="s">
        <v>203</v>
      </c>
      <c r="F18" s="181"/>
      <c r="G18" s="181"/>
      <c r="H18" s="182">
        <f t="shared" si="0"/>
        <v>3399462.23</v>
      </c>
      <c r="I18" s="182">
        <f t="shared" si="0"/>
        <v>0</v>
      </c>
      <c r="J18" s="182">
        <f t="shared" si="0"/>
        <v>0</v>
      </c>
      <c r="K18" s="276"/>
    </row>
    <row r="19" spans="1:11" s="173" customFormat="1" x14ac:dyDescent="0.2">
      <c r="A19" s="72" t="s">
        <v>212</v>
      </c>
      <c r="B19" s="180" t="s">
        <v>0</v>
      </c>
      <c r="C19" s="84" t="s">
        <v>197</v>
      </c>
      <c r="D19" s="84" t="s">
        <v>211</v>
      </c>
      <c r="E19" s="84" t="s">
        <v>213</v>
      </c>
      <c r="F19" s="181"/>
      <c r="G19" s="181"/>
      <c r="H19" s="182">
        <f>SUM(H20:H22)</f>
        <v>3399462.23</v>
      </c>
      <c r="I19" s="182">
        <f>I20+I21</f>
        <v>0</v>
      </c>
      <c r="J19" s="182">
        <f>J20+J21</f>
        <v>0</v>
      </c>
      <c r="K19" s="276"/>
    </row>
    <row r="20" spans="1:11" s="173" customFormat="1" ht="60" x14ac:dyDescent="0.2">
      <c r="A20" s="72" t="s">
        <v>169</v>
      </c>
      <c r="B20" s="180" t="s">
        <v>0</v>
      </c>
      <c r="C20" s="71" t="s">
        <v>197</v>
      </c>
      <c r="D20" s="84" t="s">
        <v>211</v>
      </c>
      <c r="E20" s="84" t="s">
        <v>213</v>
      </c>
      <c r="F20" s="181" t="s">
        <v>178</v>
      </c>
      <c r="G20" s="183" t="s">
        <v>306</v>
      </c>
      <c r="H20" s="182">
        <v>3043433.98</v>
      </c>
      <c r="I20" s="25">
        <v>0</v>
      </c>
      <c r="J20" s="25">
        <v>0</v>
      </c>
      <c r="K20" s="213"/>
    </row>
    <row r="21" spans="1:11" s="173" customFormat="1" ht="30" x14ac:dyDescent="0.2">
      <c r="A21" s="72" t="s">
        <v>307</v>
      </c>
      <c r="B21" s="180" t="s">
        <v>0</v>
      </c>
      <c r="C21" s="84" t="s">
        <v>197</v>
      </c>
      <c r="D21" s="84" t="s">
        <v>211</v>
      </c>
      <c r="E21" s="84" t="s">
        <v>213</v>
      </c>
      <c r="F21" s="181" t="s">
        <v>181</v>
      </c>
      <c r="G21" s="183" t="s">
        <v>306</v>
      </c>
      <c r="H21" s="182">
        <v>200208.25</v>
      </c>
      <c r="I21" s="25">
        <v>0</v>
      </c>
      <c r="J21" s="25">
        <v>0</v>
      </c>
      <c r="K21" s="213"/>
    </row>
    <row r="22" spans="1:11" s="173" customFormat="1" ht="30" x14ac:dyDescent="0.2">
      <c r="A22" s="72" t="s">
        <v>307</v>
      </c>
      <c r="B22" s="180" t="s">
        <v>0</v>
      </c>
      <c r="C22" s="84" t="s">
        <v>197</v>
      </c>
      <c r="D22" s="84" t="s">
        <v>211</v>
      </c>
      <c r="E22" s="84" t="s">
        <v>213</v>
      </c>
      <c r="F22" s="181" t="s">
        <v>181</v>
      </c>
      <c r="G22" s="183" t="s">
        <v>315</v>
      </c>
      <c r="H22" s="182">
        <v>155820</v>
      </c>
      <c r="I22" s="25"/>
      <c r="J22" s="25"/>
      <c r="K22" s="213"/>
    </row>
    <row r="23" spans="1:11" s="185" customFormat="1" ht="15.75" x14ac:dyDescent="0.25">
      <c r="A23" s="82" t="s">
        <v>308</v>
      </c>
      <c r="B23" s="180" t="s">
        <v>0</v>
      </c>
      <c r="C23" s="83" t="s">
        <v>197</v>
      </c>
      <c r="D23" s="83" t="s">
        <v>238</v>
      </c>
      <c r="E23" s="83"/>
      <c r="F23" s="184"/>
      <c r="G23" s="184"/>
      <c r="H23" s="63">
        <f t="shared" ref="H23:J25" si="1">H24</f>
        <v>0</v>
      </c>
      <c r="I23" s="63">
        <f t="shared" si="1"/>
        <v>0</v>
      </c>
      <c r="J23" s="63">
        <f t="shared" si="1"/>
        <v>0</v>
      </c>
      <c r="K23" s="275"/>
    </row>
    <row r="24" spans="1:11" s="185" customFormat="1" ht="15.75" x14ac:dyDescent="0.25">
      <c r="A24" s="82" t="s">
        <v>200</v>
      </c>
      <c r="B24" s="179" t="s">
        <v>0</v>
      </c>
      <c r="C24" s="83" t="s">
        <v>197</v>
      </c>
      <c r="D24" s="83" t="s">
        <v>238</v>
      </c>
      <c r="E24" s="83" t="s">
        <v>201</v>
      </c>
      <c r="F24" s="184"/>
      <c r="G24" s="184"/>
      <c r="H24" s="63">
        <f t="shared" si="1"/>
        <v>0</v>
      </c>
      <c r="I24" s="63">
        <f t="shared" si="1"/>
        <v>0</v>
      </c>
      <c r="J24" s="63">
        <f t="shared" si="1"/>
        <v>0</v>
      </c>
      <c r="K24" s="275"/>
    </row>
    <row r="25" spans="1:11" s="173" customFormat="1" ht="45" x14ac:dyDescent="0.2">
      <c r="A25" s="72" t="s">
        <v>309</v>
      </c>
      <c r="B25" s="180" t="s">
        <v>0</v>
      </c>
      <c r="C25" s="84" t="s">
        <v>197</v>
      </c>
      <c r="D25" s="84" t="s">
        <v>238</v>
      </c>
      <c r="E25" s="84" t="s">
        <v>310</v>
      </c>
      <c r="F25" s="181"/>
      <c r="G25" s="181"/>
      <c r="H25" s="182">
        <f t="shared" si="1"/>
        <v>0</v>
      </c>
      <c r="I25" s="182">
        <f t="shared" si="1"/>
        <v>0</v>
      </c>
      <c r="J25" s="182">
        <f t="shared" si="1"/>
        <v>0</v>
      </c>
      <c r="K25" s="276"/>
    </row>
    <row r="26" spans="1:11" s="173" customFormat="1" ht="30" x14ac:dyDescent="0.2">
      <c r="A26" s="72" t="s">
        <v>307</v>
      </c>
      <c r="B26" s="180" t="s">
        <v>0</v>
      </c>
      <c r="C26" s="84" t="s">
        <v>197</v>
      </c>
      <c r="D26" s="84" t="s">
        <v>238</v>
      </c>
      <c r="E26" s="84" t="s">
        <v>310</v>
      </c>
      <c r="F26" s="181" t="s">
        <v>181</v>
      </c>
      <c r="G26" s="181"/>
      <c r="H26" s="182"/>
      <c r="I26" s="182"/>
      <c r="J26" s="25"/>
      <c r="K26" s="213"/>
    </row>
    <row r="27" spans="1:11" s="185" customFormat="1" ht="47.25" x14ac:dyDescent="0.25">
      <c r="A27" s="82" t="s">
        <v>214</v>
      </c>
      <c r="B27" s="179" t="s">
        <v>0</v>
      </c>
      <c r="C27" s="83" t="s">
        <v>197</v>
      </c>
      <c r="D27" s="83" t="s">
        <v>215</v>
      </c>
      <c r="E27" s="83"/>
      <c r="F27" s="184"/>
      <c r="G27" s="184"/>
      <c r="H27" s="63">
        <f t="shared" ref="H27:J29" si="2">H28</f>
        <v>934675</v>
      </c>
      <c r="I27" s="63">
        <f t="shared" si="2"/>
        <v>0</v>
      </c>
      <c r="J27" s="63">
        <f t="shared" si="2"/>
        <v>0</v>
      </c>
      <c r="K27" s="275"/>
    </row>
    <row r="28" spans="1:11" s="185" customFormat="1" ht="15.75" x14ac:dyDescent="0.25">
      <c r="A28" s="82" t="s">
        <v>200</v>
      </c>
      <c r="B28" s="179" t="s">
        <v>0</v>
      </c>
      <c r="C28" s="83" t="s">
        <v>197</v>
      </c>
      <c r="D28" s="83" t="s">
        <v>215</v>
      </c>
      <c r="E28" s="83" t="s">
        <v>201</v>
      </c>
      <c r="F28" s="184"/>
      <c r="G28" s="184"/>
      <c r="H28" s="63">
        <f t="shared" si="2"/>
        <v>934675</v>
      </c>
      <c r="I28" s="63">
        <f t="shared" si="2"/>
        <v>0</v>
      </c>
      <c r="J28" s="63">
        <f t="shared" si="2"/>
        <v>0</v>
      </c>
      <c r="K28" s="275"/>
    </row>
    <row r="29" spans="1:11" s="185" customFormat="1" ht="30.75" x14ac:dyDescent="0.25">
      <c r="A29" s="72" t="s">
        <v>305</v>
      </c>
      <c r="B29" s="180" t="s">
        <v>0</v>
      </c>
      <c r="C29" s="84" t="s">
        <v>197</v>
      </c>
      <c r="D29" s="84" t="s">
        <v>215</v>
      </c>
      <c r="E29" s="84" t="s">
        <v>203</v>
      </c>
      <c r="F29" s="184"/>
      <c r="G29" s="184"/>
      <c r="H29" s="182">
        <f t="shared" si="2"/>
        <v>934675</v>
      </c>
      <c r="I29" s="182">
        <f t="shared" si="2"/>
        <v>0</v>
      </c>
      <c r="J29" s="182">
        <f t="shared" si="2"/>
        <v>0</v>
      </c>
      <c r="K29" s="276"/>
    </row>
    <row r="30" spans="1:11" s="173" customFormat="1" x14ac:dyDescent="0.2">
      <c r="A30" s="72" t="s">
        <v>212</v>
      </c>
      <c r="B30" s="180" t="s">
        <v>0</v>
      </c>
      <c r="C30" s="84" t="s">
        <v>197</v>
      </c>
      <c r="D30" s="84" t="s">
        <v>215</v>
      </c>
      <c r="E30" s="84" t="s">
        <v>213</v>
      </c>
      <c r="F30" s="181"/>
      <c r="G30" s="181"/>
      <c r="H30" s="182">
        <f>H31+H32</f>
        <v>934675</v>
      </c>
      <c r="I30" s="182">
        <f>I31</f>
        <v>0</v>
      </c>
      <c r="J30" s="182">
        <f>J31</f>
        <v>0</v>
      </c>
      <c r="K30" s="276"/>
    </row>
    <row r="31" spans="1:11" s="173" customFormat="1" ht="30" x14ac:dyDescent="0.2">
      <c r="A31" s="186" t="s">
        <v>307</v>
      </c>
      <c r="B31" s="180" t="s">
        <v>0</v>
      </c>
      <c r="C31" s="84" t="s">
        <v>197</v>
      </c>
      <c r="D31" s="84" t="s">
        <v>215</v>
      </c>
      <c r="E31" s="84" t="s">
        <v>213</v>
      </c>
      <c r="F31" s="181" t="s">
        <v>181</v>
      </c>
      <c r="G31" s="183" t="s">
        <v>306</v>
      </c>
      <c r="H31" s="182">
        <v>584675</v>
      </c>
      <c r="I31" s="182">
        <v>0</v>
      </c>
      <c r="J31" s="25">
        <v>0</v>
      </c>
      <c r="K31" s="213"/>
    </row>
    <row r="32" spans="1:11" s="173" customFormat="1" ht="30" x14ac:dyDescent="0.2">
      <c r="A32" s="186" t="s">
        <v>307</v>
      </c>
      <c r="B32" s="180" t="s">
        <v>0</v>
      </c>
      <c r="C32" s="84" t="s">
        <v>197</v>
      </c>
      <c r="D32" s="84" t="s">
        <v>215</v>
      </c>
      <c r="E32" s="84" t="s">
        <v>213</v>
      </c>
      <c r="F32" s="181" t="s">
        <v>181</v>
      </c>
      <c r="G32" s="183" t="s">
        <v>315</v>
      </c>
      <c r="H32" s="182">
        <v>350000</v>
      </c>
      <c r="I32" s="182">
        <v>0</v>
      </c>
      <c r="J32" s="25">
        <v>0</v>
      </c>
      <c r="K32" s="213"/>
    </row>
    <row r="33" spans="1:11" s="173" customFormat="1" ht="15.75" x14ac:dyDescent="0.2">
      <c r="A33" s="187" t="s">
        <v>224</v>
      </c>
      <c r="B33" s="179" t="s">
        <v>0</v>
      </c>
      <c r="C33" s="76" t="s">
        <v>197</v>
      </c>
      <c r="D33" s="76" t="s">
        <v>225</v>
      </c>
      <c r="E33" s="62"/>
      <c r="F33" s="172"/>
      <c r="G33" s="172"/>
      <c r="H33" s="63">
        <f>H38+H34</f>
        <v>10441851.629999999</v>
      </c>
      <c r="I33" s="63">
        <f>I38+I34</f>
        <v>3879060.32</v>
      </c>
      <c r="J33" s="63">
        <f>J38+J34</f>
        <v>3879060.32</v>
      </c>
      <c r="K33" s="275"/>
    </row>
    <row r="34" spans="1:11" s="173" customFormat="1" ht="31.5" x14ac:dyDescent="0.25">
      <c r="A34" s="82" t="s">
        <v>186</v>
      </c>
      <c r="B34" s="180" t="s">
        <v>0</v>
      </c>
      <c r="C34" s="107" t="s">
        <v>197</v>
      </c>
      <c r="D34" s="107" t="s">
        <v>225</v>
      </c>
      <c r="E34" s="107" t="s">
        <v>489</v>
      </c>
      <c r="F34" s="172"/>
      <c r="G34" s="172"/>
      <c r="H34" s="63">
        <f t="shared" ref="H34:J36" si="3">H35</f>
        <v>547912.54</v>
      </c>
      <c r="I34" s="63">
        <f t="shared" si="3"/>
        <v>0</v>
      </c>
      <c r="J34" s="63">
        <f t="shared" si="3"/>
        <v>0</v>
      </c>
      <c r="K34" s="275"/>
    </row>
    <row r="35" spans="1:11" s="173" customFormat="1" ht="15.75" x14ac:dyDescent="0.2">
      <c r="A35" s="72" t="s">
        <v>474</v>
      </c>
      <c r="B35" s="180" t="s">
        <v>0</v>
      </c>
      <c r="C35" s="84" t="s">
        <v>197</v>
      </c>
      <c r="D35" s="84" t="s">
        <v>225</v>
      </c>
      <c r="E35" s="109" t="s">
        <v>491</v>
      </c>
      <c r="F35" s="172"/>
      <c r="G35" s="172"/>
      <c r="H35" s="182">
        <f t="shared" si="3"/>
        <v>547912.54</v>
      </c>
      <c r="I35" s="182">
        <f t="shared" si="3"/>
        <v>0</v>
      </c>
      <c r="J35" s="182">
        <f t="shared" si="3"/>
        <v>0</v>
      </c>
      <c r="K35" s="276"/>
    </row>
    <row r="36" spans="1:11" s="173" customFormat="1" ht="30" x14ac:dyDescent="0.2">
      <c r="A36" s="72" t="s">
        <v>226</v>
      </c>
      <c r="B36" s="180" t="s">
        <v>0</v>
      </c>
      <c r="C36" s="84" t="s">
        <v>197</v>
      </c>
      <c r="D36" s="84" t="s">
        <v>225</v>
      </c>
      <c r="E36" s="84" t="s">
        <v>675</v>
      </c>
      <c r="F36" s="172"/>
      <c r="G36" s="172"/>
      <c r="H36" s="182">
        <f t="shared" si="3"/>
        <v>547912.54</v>
      </c>
      <c r="I36" s="182">
        <f t="shared" si="3"/>
        <v>0</v>
      </c>
      <c r="J36" s="182">
        <f t="shared" si="3"/>
        <v>0</v>
      </c>
      <c r="K36" s="276"/>
    </row>
    <row r="37" spans="1:11" s="173" customFormat="1" ht="60" x14ac:dyDescent="0.2">
      <c r="A37" s="72" t="s">
        <v>169</v>
      </c>
      <c r="B37" s="180" t="s">
        <v>0</v>
      </c>
      <c r="C37" s="84" t="s">
        <v>197</v>
      </c>
      <c r="D37" s="84" t="s">
        <v>225</v>
      </c>
      <c r="E37" s="59">
        <v>7340022001</v>
      </c>
      <c r="F37" s="73">
        <v>100</v>
      </c>
      <c r="G37" s="73" t="s">
        <v>315</v>
      </c>
      <c r="H37" s="182">
        <v>547912.54</v>
      </c>
      <c r="I37" s="182">
        <v>0</v>
      </c>
      <c r="J37" s="182">
        <v>0</v>
      </c>
      <c r="K37" s="276"/>
    </row>
    <row r="38" spans="1:11" s="173" customFormat="1" ht="15.75" x14ac:dyDescent="0.25">
      <c r="A38" s="82" t="s">
        <v>200</v>
      </c>
      <c r="B38" s="179" t="s">
        <v>0</v>
      </c>
      <c r="C38" s="191" t="s">
        <v>197</v>
      </c>
      <c r="D38" s="191" t="s">
        <v>225</v>
      </c>
      <c r="E38" s="191" t="s">
        <v>201</v>
      </c>
      <c r="F38" s="192"/>
      <c r="G38" s="192"/>
      <c r="H38" s="193">
        <f>H44++H39</f>
        <v>9893939.0899999999</v>
      </c>
      <c r="I38" s="193">
        <f>I44+I39</f>
        <v>3879060.32</v>
      </c>
      <c r="J38" s="193">
        <f>J44+J39</f>
        <v>3879060.32</v>
      </c>
      <c r="K38" s="277"/>
    </row>
    <row r="39" spans="1:11" s="173" customFormat="1" ht="30" x14ac:dyDescent="0.2">
      <c r="A39" s="72" t="s">
        <v>202</v>
      </c>
      <c r="B39" s="180" t="s">
        <v>0</v>
      </c>
      <c r="C39" s="190" t="s">
        <v>197</v>
      </c>
      <c r="D39" s="190" t="s">
        <v>225</v>
      </c>
      <c r="E39" s="190" t="s">
        <v>203</v>
      </c>
      <c r="F39" s="183"/>
      <c r="G39" s="183"/>
      <c r="H39" s="24">
        <f>H40</f>
        <v>4991625.92</v>
      </c>
      <c r="I39" s="24">
        <f>I40</f>
        <v>0</v>
      </c>
      <c r="J39" s="24">
        <f>J40</f>
        <v>0</v>
      </c>
      <c r="K39" s="212"/>
    </row>
    <row r="40" spans="1:11" s="173" customFormat="1" ht="30" x14ac:dyDescent="0.2">
      <c r="A40" s="70" t="s">
        <v>226</v>
      </c>
      <c r="B40" s="180" t="s">
        <v>0</v>
      </c>
      <c r="C40" s="190" t="s">
        <v>197</v>
      </c>
      <c r="D40" s="190" t="s">
        <v>225</v>
      </c>
      <c r="E40" s="190" t="s">
        <v>239</v>
      </c>
      <c r="F40" s="183"/>
      <c r="G40" s="183"/>
      <c r="H40" s="24">
        <f>SUM(H41:H43)</f>
        <v>4991625.92</v>
      </c>
      <c r="I40" s="24">
        <f>SUM(I41:I43)</f>
        <v>0</v>
      </c>
      <c r="J40" s="24">
        <f>SUM(J41:J43)</f>
        <v>0</v>
      </c>
      <c r="K40" s="212"/>
    </row>
    <row r="41" spans="1:11" s="173" customFormat="1" ht="60" x14ac:dyDescent="0.2">
      <c r="A41" s="72" t="s">
        <v>169</v>
      </c>
      <c r="B41" s="180" t="s">
        <v>0</v>
      </c>
      <c r="C41" s="190" t="s">
        <v>197</v>
      </c>
      <c r="D41" s="190" t="s">
        <v>225</v>
      </c>
      <c r="E41" s="190" t="s">
        <v>239</v>
      </c>
      <c r="F41" s="183" t="s">
        <v>178</v>
      </c>
      <c r="G41" s="183" t="s">
        <v>315</v>
      </c>
      <c r="H41" s="24">
        <f>3302130+185315.92</f>
        <v>3487445.92</v>
      </c>
      <c r="I41" s="24">
        <v>0</v>
      </c>
      <c r="J41" s="24">
        <v>0</v>
      </c>
      <c r="K41" s="212"/>
    </row>
    <row r="42" spans="1:11" s="173" customFormat="1" ht="30" x14ac:dyDescent="0.2">
      <c r="A42" s="186" t="s">
        <v>307</v>
      </c>
      <c r="B42" s="180" t="s">
        <v>0</v>
      </c>
      <c r="C42" s="190" t="s">
        <v>197</v>
      </c>
      <c r="D42" s="190" t="s">
        <v>225</v>
      </c>
      <c r="E42" s="190" t="s">
        <v>239</v>
      </c>
      <c r="F42" s="183" t="s">
        <v>181</v>
      </c>
      <c r="G42" s="183" t="s">
        <v>315</v>
      </c>
      <c r="H42" s="24">
        <f>844180+650000</f>
        <v>1494180</v>
      </c>
      <c r="I42" s="24">
        <v>0</v>
      </c>
      <c r="J42" s="24">
        <v>0</v>
      </c>
      <c r="K42" s="212"/>
    </row>
    <row r="43" spans="1:11" s="173" customFormat="1" ht="30" x14ac:dyDescent="0.2">
      <c r="A43" s="198" t="s">
        <v>173</v>
      </c>
      <c r="B43" s="180" t="s">
        <v>0</v>
      </c>
      <c r="C43" s="190" t="s">
        <v>197</v>
      </c>
      <c r="D43" s="190" t="s">
        <v>225</v>
      </c>
      <c r="E43" s="190" t="s">
        <v>239</v>
      </c>
      <c r="F43" s="183" t="s">
        <v>227</v>
      </c>
      <c r="G43" s="183" t="s">
        <v>306</v>
      </c>
      <c r="H43" s="24">
        <v>10000</v>
      </c>
      <c r="I43" s="24">
        <v>0</v>
      </c>
      <c r="J43" s="24">
        <v>0</v>
      </c>
      <c r="K43" s="212"/>
    </row>
    <row r="44" spans="1:11" s="173" customFormat="1" x14ac:dyDescent="0.2">
      <c r="A44" s="72" t="s">
        <v>220</v>
      </c>
      <c r="B44" s="180" t="s">
        <v>0</v>
      </c>
      <c r="C44" s="190" t="s">
        <v>197</v>
      </c>
      <c r="D44" s="190" t="s">
        <v>225</v>
      </c>
      <c r="E44" s="190" t="s">
        <v>221</v>
      </c>
      <c r="F44" s="183"/>
      <c r="G44" s="183"/>
      <c r="H44" s="24">
        <f>H45+H48+H51</f>
        <v>4902313.17</v>
      </c>
      <c r="I44" s="24">
        <f>I45+I48+I51</f>
        <v>3879060.32</v>
      </c>
      <c r="J44" s="24">
        <f>J45+J48+J51</f>
        <v>3879060.32</v>
      </c>
      <c r="K44" s="212"/>
    </row>
    <row r="45" spans="1:11" s="173" customFormat="1" ht="105" x14ac:dyDescent="0.2">
      <c r="A45" s="72" t="s">
        <v>317</v>
      </c>
      <c r="B45" s="180" t="s">
        <v>0</v>
      </c>
      <c r="C45" s="190" t="s">
        <v>197</v>
      </c>
      <c r="D45" s="190" t="s">
        <v>225</v>
      </c>
      <c r="E45" s="373" t="s">
        <v>512</v>
      </c>
      <c r="F45" s="183"/>
      <c r="G45" s="183"/>
      <c r="H45" s="24">
        <f>SUM(H46:H47)</f>
        <v>59625</v>
      </c>
      <c r="I45" s="24">
        <f>SUM(I46:I47)</f>
        <v>59625</v>
      </c>
      <c r="J45" s="24">
        <f>SUM(J46:J47)</f>
        <v>59625</v>
      </c>
      <c r="K45" s="212"/>
    </row>
    <row r="46" spans="1:11" s="173" customFormat="1" ht="60" x14ac:dyDescent="0.2">
      <c r="A46" s="72" t="s">
        <v>169</v>
      </c>
      <c r="B46" s="180" t="s">
        <v>0</v>
      </c>
      <c r="C46" s="190" t="s">
        <v>197</v>
      </c>
      <c r="D46" s="190" t="s">
        <v>225</v>
      </c>
      <c r="E46" s="373" t="s">
        <v>512</v>
      </c>
      <c r="F46" s="183" t="s">
        <v>178</v>
      </c>
      <c r="G46" s="183" t="s">
        <v>315</v>
      </c>
      <c r="H46" s="379">
        <v>55745</v>
      </c>
      <c r="I46" s="24">
        <v>52445</v>
      </c>
      <c r="J46" s="25">
        <v>55445</v>
      </c>
      <c r="K46" s="213"/>
    </row>
    <row r="47" spans="1:11" s="185" customFormat="1" ht="30.75" x14ac:dyDescent="0.25">
      <c r="A47" s="72" t="s">
        <v>170</v>
      </c>
      <c r="B47" s="180" t="s">
        <v>0</v>
      </c>
      <c r="C47" s="190" t="s">
        <v>197</v>
      </c>
      <c r="D47" s="190" t="s">
        <v>225</v>
      </c>
      <c r="E47" s="373" t="s">
        <v>512</v>
      </c>
      <c r="F47" s="183" t="s">
        <v>181</v>
      </c>
      <c r="G47" s="183" t="s">
        <v>315</v>
      </c>
      <c r="H47" s="379">
        <v>3880</v>
      </c>
      <c r="I47" s="24">
        <v>7180</v>
      </c>
      <c r="J47" s="25">
        <v>4180</v>
      </c>
      <c r="K47" s="213"/>
    </row>
    <row r="48" spans="1:11" s="173" customFormat="1" ht="30" x14ac:dyDescent="0.2">
      <c r="A48" s="72" t="s">
        <v>318</v>
      </c>
      <c r="B48" s="180" t="s">
        <v>0</v>
      </c>
      <c r="C48" s="190" t="s">
        <v>197</v>
      </c>
      <c r="D48" s="190" t="s">
        <v>225</v>
      </c>
      <c r="E48" s="373" t="s">
        <v>513</v>
      </c>
      <c r="F48" s="183"/>
      <c r="G48" s="183"/>
      <c r="H48" s="315">
        <f>SUM(H49:H50)</f>
        <v>2862138.1700000004</v>
      </c>
      <c r="I48" s="315">
        <f>SUM(I49:I50)</f>
        <v>2349485.3199999998</v>
      </c>
      <c r="J48" s="315">
        <f>SUM(J49:J50)</f>
        <v>2349485.3199999998</v>
      </c>
      <c r="K48" s="278"/>
    </row>
    <row r="49" spans="1:11" s="173" customFormat="1" ht="60" x14ac:dyDescent="0.2">
      <c r="A49" s="72" t="s">
        <v>169</v>
      </c>
      <c r="B49" s="180" t="s">
        <v>0</v>
      </c>
      <c r="C49" s="190" t="s">
        <v>197</v>
      </c>
      <c r="D49" s="190" t="s">
        <v>225</v>
      </c>
      <c r="E49" s="373" t="s">
        <v>513</v>
      </c>
      <c r="F49" s="183" t="s">
        <v>178</v>
      </c>
      <c r="G49" s="183" t="s">
        <v>315</v>
      </c>
      <c r="H49" s="315">
        <f>2231913.32+3.2+235488.18+96850+113257.89</f>
        <v>2677512.5900000003</v>
      </c>
      <c r="I49" s="315">
        <v>2231913.3199999998</v>
      </c>
      <c r="J49" s="315">
        <v>2231913.3199999998</v>
      </c>
      <c r="K49" s="278"/>
    </row>
    <row r="50" spans="1:11" s="173" customFormat="1" ht="30" x14ac:dyDescent="0.2">
      <c r="A50" s="72" t="s">
        <v>170</v>
      </c>
      <c r="B50" s="180" t="s">
        <v>0</v>
      </c>
      <c r="C50" s="190" t="s">
        <v>197</v>
      </c>
      <c r="D50" s="190" t="s">
        <v>225</v>
      </c>
      <c r="E50" s="373" t="s">
        <v>513</v>
      </c>
      <c r="F50" s="183" t="s">
        <v>181</v>
      </c>
      <c r="G50" s="183" t="s">
        <v>315</v>
      </c>
      <c r="H50" s="315">
        <f>117572+67053.58</f>
        <v>184625.58000000002</v>
      </c>
      <c r="I50" s="315">
        <v>117572</v>
      </c>
      <c r="J50" s="315">
        <v>117572</v>
      </c>
      <c r="K50" s="278"/>
    </row>
    <row r="51" spans="1:11" s="173" customFormat="1" ht="42.75" x14ac:dyDescent="0.2">
      <c r="A51" s="372" t="s">
        <v>515</v>
      </c>
      <c r="B51" s="180" t="s">
        <v>0</v>
      </c>
      <c r="C51" s="190" t="s">
        <v>197</v>
      </c>
      <c r="D51" s="190" t="s">
        <v>225</v>
      </c>
      <c r="E51" s="190" t="s">
        <v>514</v>
      </c>
      <c r="F51" s="183"/>
      <c r="G51" s="183"/>
      <c r="H51" s="24">
        <f>SUM(H52:H53)</f>
        <v>1980550</v>
      </c>
      <c r="I51" s="24">
        <f>SUM(I52:I53)</f>
        <v>1469950</v>
      </c>
      <c r="J51" s="24">
        <f>SUM(J52:J53)</f>
        <v>1469950</v>
      </c>
      <c r="K51" s="212"/>
    </row>
    <row r="52" spans="1:11" s="173" customFormat="1" ht="60" x14ac:dyDescent="0.2">
      <c r="A52" s="72" t="s">
        <v>169</v>
      </c>
      <c r="B52" s="180" t="s">
        <v>0</v>
      </c>
      <c r="C52" s="190" t="s">
        <v>197</v>
      </c>
      <c r="D52" s="190" t="s">
        <v>225</v>
      </c>
      <c r="E52" s="190" t="s">
        <v>514</v>
      </c>
      <c r="F52" s="183" t="s">
        <v>178</v>
      </c>
      <c r="G52" s="183" t="s">
        <v>315</v>
      </c>
      <c r="H52" s="24">
        <f>1469950+182160.47+96500</f>
        <v>1748610.47</v>
      </c>
      <c r="I52" s="24">
        <v>1469950</v>
      </c>
      <c r="J52" s="24">
        <v>1469950</v>
      </c>
      <c r="K52" s="213"/>
    </row>
    <row r="53" spans="1:11" s="173" customFormat="1" ht="30" x14ac:dyDescent="0.2">
      <c r="A53" s="72" t="s">
        <v>170</v>
      </c>
      <c r="B53" s="180" t="s">
        <v>0</v>
      </c>
      <c r="C53" s="190" t="s">
        <v>197</v>
      </c>
      <c r="D53" s="190" t="s">
        <v>225</v>
      </c>
      <c r="E53" s="190" t="s">
        <v>514</v>
      </c>
      <c r="F53" s="183" t="s">
        <v>181</v>
      </c>
      <c r="G53" s="183" t="s">
        <v>315</v>
      </c>
      <c r="H53" s="24">
        <v>231939.53</v>
      </c>
      <c r="I53" s="24">
        <v>0</v>
      </c>
      <c r="J53" s="24">
        <v>0</v>
      </c>
      <c r="K53" s="213"/>
    </row>
    <row r="54" spans="1:11" s="173" customFormat="1" ht="31.5" x14ac:dyDescent="0.2">
      <c r="A54" s="195" t="s">
        <v>230</v>
      </c>
      <c r="B54" s="179" t="s">
        <v>0</v>
      </c>
      <c r="C54" s="191" t="s">
        <v>207</v>
      </c>
      <c r="D54" s="191"/>
      <c r="E54" s="191"/>
      <c r="F54" s="192"/>
      <c r="G54" s="192"/>
      <c r="H54" s="193">
        <f t="shared" ref="H54:J55" si="4">H55</f>
        <v>2873280</v>
      </c>
      <c r="I54" s="193">
        <f t="shared" si="4"/>
        <v>0</v>
      </c>
      <c r="J54" s="193">
        <f t="shared" si="4"/>
        <v>0</v>
      </c>
      <c r="K54" s="277"/>
    </row>
    <row r="55" spans="1:11" s="173" customFormat="1" ht="63" x14ac:dyDescent="0.25">
      <c r="A55" s="82" t="s">
        <v>231</v>
      </c>
      <c r="B55" s="179" t="s">
        <v>0</v>
      </c>
      <c r="C55" s="191" t="s">
        <v>207</v>
      </c>
      <c r="D55" s="191" t="s">
        <v>232</v>
      </c>
      <c r="E55" s="191"/>
      <c r="F55" s="191"/>
      <c r="G55" s="191"/>
      <c r="H55" s="193">
        <f t="shared" si="4"/>
        <v>2873280</v>
      </c>
      <c r="I55" s="193">
        <f t="shared" si="4"/>
        <v>0</v>
      </c>
      <c r="J55" s="193">
        <f t="shared" si="4"/>
        <v>0</v>
      </c>
      <c r="K55" s="277"/>
    </row>
    <row r="56" spans="1:11" s="173" customFormat="1" ht="15.75" x14ac:dyDescent="0.25">
      <c r="A56" s="79" t="s">
        <v>200</v>
      </c>
      <c r="B56" s="179" t="s">
        <v>0</v>
      </c>
      <c r="C56" s="191" t="s">
        <v>207</v>
      </c>
      <c r="D56" s="191" t="s">
        <v>232</v>
      </c>
      <c r="E56" s="103">
        <v>9900000000</v>
      </c>
      <c r="F56" s="103"/>
      <c r="G56" s="191"/>
      <c r="H56" s="193">
        <f>H60+H57</f>
        <v>2873280</v>
      </c>
      <c r="I56" s="193">
        <f>I60+I57</f>
        <v>0</v>
      </c>
      <c r="J56" s="193">
        <f>J60+J57</f>
        <v>0</v>
      </c>
      <c r="K56" s="277"/>
    </row>
    <row r="57" spans="1:11" s="173" customFormat="1" ht="30" x14ac:dyDescent="0.2">
      <c r="A57" s="72" t="s">
        <v>202</v>
      </c>
      <c r="B57" s="180" t="s">
        <v>0</v>
      </c>
      <c r="C57" s="190" t="s">
        <v>207</v>
      </c>
      <c r="D57" s="190" t="s">
        <v>232</v>
      </c>
      <c r="E57" s="190" t="s">
        <v>203</v>
      </c>
      <c r="F57" s="183"/>
      <c r="G57" s="183"/>
      <c r="H57" s="193">
        <f t="shared" ref="H57:J58" si="5">H58</f>
        <v>373280</v>
      </c>
      <c r="I57" s="193">
        <f t="shared" si="5"/>
        <v>0</v>
      </c>
      <c r="J57" s="193">
        <f t="shared" si="5"/>
        <v>0</v>
      </c>
      <c r="K57" s="277"/>
    </row>
    <row r="58" spans="1:11" s="173" customFormat="1" ht="30" x14ac:dyDescent="0.2">
      <c r="A58" s="70" t="s">
        <v>226</v>
      </c>
      <c r="B58" s="180" t="s">
        <v>0</v>
      </c>
      <c r="C58" s="190" t="s">
        <v>207</v>
      </c>
      <c r="D58" s="190" t="s">
        <v>232</v>
      </c>
      <c r="E58" s="190" t="s">
        <v>239</v>
      </c>
      <c r="F58" s="183"/>
      <c r="G58" s="183"/>
      <c r="H58" s="24">
        <f t="shared" si="5"/>
        <v>373280</v>
      </c>
      <c r="I58" s="24">
        <f t="shared" si="5"/>
        <v>0</v>
      </c>
      <c r="J58" s="24">
        <f t="shared" si="5"/>
        <v>0</v>
      </c>
      <c r="K58" s="277"/>
    </row>
    <row r="59" spans="1:11" s="173" customFormat="1" ht="60" x14ac:dyDescent="0.2">
      <c r="A59" s="72" t="s">
        <v>169</v>
      </c>
      <c r="B59" s="180" t="s">
        <v>0</v>
      </c>
      <c r="C59" s="190" t="s">
        <v>207</v>
      </c>
      <c r="D59" s="190" t="s">
        <v>232</v>
      </c>
      <c r="E59" s="190" t="s">
        <v>239</v>
      </c>
      <c r="F59" s="183" t="s">
        <v>178</v>
      </c>
      <c r="G59" s="183" t="s">
        <v>315</v>
      </c>
      <c r="H59" s="24">
        <v>373280</v>
      </c>
      <c r="I59" s="24">
        <v>0</v>
      </c>
      <c r="J59" s="24">
        <v>0</v>
      </c>
      <c r="K59" s="277"/>
    </row>
    <row r="60" spans="1:11" s="185" customFormat="1" ht="15.75" x14ac:dyDescent="0.25">
      <c r="A60" s="82" t="s">
        <v>220</v>
      </c>
      <c r="B60" s="179" t="s">
        <v>0</v>
      </c>
      <c r="C60" s="191" t="s">
        <v>207</v>
      </c>
      <c r="D60" s="191" t="s">
        <v>232</v>
      </c>
      <c r="E60" s="103">
        <v>9950000000</v>
      </c>
      <c r="F60" s="103"/>
      <c r="G60" s="191"/>
      <c r="H60" s="193">
        <f t="shared" ref="H60:J61" si="6">H61</f>
        <v>2500000</v>
      </c>
      <c r="I60" s="193">
        <f t="shared" si="6"/>
        <v>0</v>
      </c>
      <c r="J60" s="193">
        <f t="shared" si="6"/>
        <v>0</v>
      </c>
      <c r="K60" s="277"/>
    </row>
    <row r="61" spans="1:11" s="173" customFormat="1" ht="30" x14ac:dyDescent="0.2">
      <c r="A61" s="70" t="s">
        <v>621</v>
      </c>
      <c r="B61" s="180" t="s">
        <v>0</v>
      </c>
      <c r="C61" s="190" t="s">
        <v>207</v>
      </c>
      <c r="D61" s="190" t="s">
        <v>232</v>
      </c>
      <c r="E61" s="100">
        <v>9950091004</v>
      </c>
      <c r="F61" s="100"/>
      <c r="G61" s="190"/>
      <c r="H61" s="24">
        <f t="shared" si="6"/>
        <v>2500000</v>
      </c>
      <c r="I61" s="24">
        <f t="shared" si="6"/>
        <v>0</v>
      </c>
      <c r="J61" s="24">
        <f t="shared" si="6"/>
        <v>0</v>
      </c>
      <c r="K61" s="212"/>
    </row>
    <row r="62" spans="1:11" s="173" customFormat="1" ht="30" x14ac:dyDescent="0.2">
      <c r="A62" s="72" t="s">
        <v>170</v>
      </c>
      <c r="B62" s="180" t="s">
        <v>0</v>
      </c>
      <c r="C62" s="190" t="s">
        <v>207</v>
      </c>
      <c r="D62" s="190" t="s">
        <v>232</v>
      </c>
      <c r="E62" s="378">
        <v>9950091004</v>
      </c>
      <c r="F62" s="109" t="s">
        <v>181</v>
      </c>
      <c r="G62" s="190" t="s">
        <v>315</v>
      </c>
      <c r="H62" s="24">
        <v>2500000</v>
      </c>
      <c r="I62" s="196">
        <v>0</v>
      </c>
      <c r="J62" s="32">
        <v>0</v>
      </c>
      <c r="K62" s="279"/>
    </row>
    <row r="63" spans="1:11" s="173" customFormat="1" ht="15.75" x14ac:dyDescent="0.2">
      <c r="A63" s="195" t="s">
        <v>235</v>
      </c>
      <c r="B63" s="179" t="s">
        <v>0</v>
      </c>
      <c r="C63" s="191" t="s">
        <v>211</v>
      </c>
      <c r="D63" s="191"/>
      <c r="E63" s="191"/>
      <c r="F63" s="192"/>
      <c r="G63" s="192"/>
      <c r="H63" s="193">
        <f>H64+H70+H109</f>
        <v>200511093.49999997</v>
      </c>
      <c r="I63" s="193">
        <f>I64+I70+I109</f>
        <v>32546590</v>
      </c>
      <c r="J63" s="193">
        <f>J64+J70+J109</f>
        <v>32546590</v>
      </c>
      <c r="K63" s="277"/>
    </row>
    <row r="64" spans="1:11" s="173" customFormat="1" ht="15.75" x14ac:dyDescent="0.2">
      <c r="A64" s="195" t="s">
        <v>236</v>
      </c>
      <c r="B64" s="179" t="s">
        <v>0</v>
      </c>
      <c r="C64" s="191" t="s">
        <v>211</v>
      </c>
      <c r="D64" s="191" t="s">
        <v>197</v>
      </c>
      <c r="E64" s="191"/>
      <c r="F64" s="192"/>
      <c r="G64" s="192"/>
      <c r="H64" s="193">
        <f t="shared" ref="H64:J66" si="7">H65</f>
        <v>682879.1</v>
      </c>
      <c r="I64" s="193">
        <f t="shared" si="7"/>
        <v>604270</v>
      </c>
      <c r="J64" s="193">
        <f t="shared" si="7"/>
        <v>604270</v>
      </c>
      <c r="K64" s="277"/>
    </row>
    <row r="65" spans="1:11" s="173" customFormat="1" ht="15.75" x14ac:dyDescent="0.25">
      <c r="A65" s="82" t="s">
        <v>200</v>
      </c>
      <c r="B65" s="179" t="s">
        <v>0</v>
      </c>
      <c r="C65" s="191" t="s">
        <v>211</v>
      </c>
      <c r="D65" s="191" t="s">
        <v>197</v>
      </c>
      <c r="E65" s="191" t="s">
        <v>201</v>
      </c>
      <c r="F65" s="192"/>
      <c r="G65" s="192"/>
      <c r="H65" s="193">
        <f t="shared" si="7"/>
        <v>682879.1</v>
      </c>
      <c r="I65" s="193">
        <f t="shared" si="7"/>
        <v>604270</v>
      </c>
      <c r="J65" s="193">
        <f t="shared" si="7"/>
        <v>604270</v>
      </c>
      <c r="K65" s="277"/>
    </row>
    <row r="66" spans="1:11" s="173" customFormat="1" x14ac:dyDescent="0.2">
      <c r="A66" s="72" t="s">
        <v>220</v>
      </c>
      <c r="B66" s="180" t="s">
        <v>0</v>
      </c>
      <c r="C66" s="190" t="s">
        <v>211</v>
      </c>
      <c r="D66" s="190" t="s">
        <v>197</v>
      </c>
      <c r="E66" s="190" t="s">
        <v>221</v>
      </c>
      <c r="F66" s="183"/>
      <c r="G66" s="183"/>
      <c r="H66" s="24">
        <f t="shared" si="7"/>
        <v>682879.1</v>
      </c>
      <c r="I66" s="24">
        <f t="shared" si="7"/>
        <v>604270</v>
      </c>
      <c r="J66" s="24">
        <f t="shared" si="7"/>
        <v>604270</v>
      </c>
      <c r="K66" s="212"/>
    </row>
    <row r="67" spans="1:11" s="173" customFormat="1" ht="30" x14ac:dyDescent="0.2">
      <c r="A67" s="215" t="s">
        <v>13</v>
      </c>
      <c r="B67" s="180" t="s">
        <v>0</v>
      </c>
      <c r="C67" s="190" t="s">
        <v>211</v>
      </c>
      <c r="D67" s="190" t="s">
        <v>197</v>
      </c>
      <c r="E67" s="190" t="s">
        <v>516</v>
      </c>
      <c r="F67" s="183"/>
      <c r="G67" s="183"/>
      <c r="H67" s="196">
        <f>H68+H69</f>
        <v>682879.1</v>
      </c>
      <c r="I67" s="196">
        <f>I68+I69</f>
        <v>604270</v>
      </c>
      <c r="J67" s="196">
        <f>J68+J69</f>
        <v>604270</v>
      </c>
      <c r="K67" s="280"/>
    </row>
    <row r="68" spans="1:11" s="173" customFormat="1" ht="60" x14ac:dyDescent="0.2">
      <c r="A68" s="72" t="s">
        <v>169</v>
      </c>
      <c r="B68" s="180" t="s">
        <v>0</v>
      </c>
      <c r="C68" s="190" t="s">
        <v>211</v>
      </c>
      <c r="D68" s="190" t="s">
        <v>197</v>
      </c>
      <c r="E68" s="190" t="s">
        <v>516</v>
      </c>
      <c r="F68" s="183" t="s">
        <v>178</v>
      </c>
      <c r="G68" s="183" t="s">
        <v>315</v>
      </c>
      <c r="H68" s="316">
        <f>553394+22124+24623.08</f>
        <v>600141.07999999996</v>
      </c>
      <c r="I68" s="316">
        <v>568204</v>
      </c>
      <c r="J68" s="316">
        <v>553394</v>
      </c>
      <c r="K68" s="281"/>
    </row>
    <row r="69" spans="1:11" s="173" customFormat="1" ht="30" x14ac:dyDescent="0.2">
      <c r="A69" s="72" t="s">
        <v>170</v>
      </c>
      <c r="B69" s="180" t="s">
        <v>0</v>
      </c>
      <c r="C69" s="190" t="s">
        <v>211</v>
      </c>
      <c r="D69" s="190" t="s">
        <v>197</v>
      </c>
      <c r="E69" s="190" t="s">
        <v>516</v>
      </c>
      <c r="F69" s="183" t="s">
        <v>181</v>
      </c>
      <c r="G69" s="183" t="s">
        <v>315</v>
      </c>
      <c r="H69" s="196">
        <f>50876+31862.02</f>
        <v>82738.02</v>
      </c>
      <c r="I69" s="196">
        <v>36066</v>
      </c>
      <c r="J69" s="196">
        <v>50876</v>
      </c>
      <c r="K69" s="280"/>
    </row>
    <row r="70" spans="1:11" s="173" customFormat="1" ht="15.75" x14ac:dyDescent="0.2">
      <c r="A70" s="195" t="s">
        <v>237</v>
      </c>
      <c r="B70" s="179" t="s">
        <v>0</v>
      </c>
      <c r="C70" s="191" t="s">
        <v>211</v>
      </c>
      <c r="D70" s="191" t="s">
        <v>238</v>
      </c>
      <c r="E70" s="190"/>
      <c r="F70" s="183"/>
      <c r="G70" s="183"/>
      <c r="H70" s="193">
        <f>H71+H105</f>
        <v>163703909.96999997</v>
      </c>
      <c r="I70" s="193">
        <f>I71+I105</f>
        <v>31942320</v>
      </c>
      <c r="J70" s="193">
        <f>J71+J105</f>
        <v>31942320</v>
      </c>
      <c r="K70" s="277"/>
    </row>
    <row r="71" spans="1:11" s="173" customFormat="1" ht="63" x14ac:dyDescent="0.2">
      <c r="A71" s="195" t="s">
        <v>177</v>
      </c>
      <c r="B71" s="179" t="s">
        <v>0</v>
      </c>
      <c r="C71" s="191" t="s">
        <v>211</v>
      </c>
      <c r="D71" s="191" t="s">
        <v>238</v>
      </c>
      <c r="E71" s="191" t="s">
        <v>486</v>
      </c>
      <c r="F71" s="192"/>
      <c r="G71" s="192"/>
      <c r="H71" s="193">
        <f>H72+H101</f>
        <v>158787792.61999997</v>
      </c>
      <c r="I71" s="193">
        <f>I72+I101</f>
        <v>31942320</v>
      </c>
      <c r="J71" s="193">
        <f>J72+J101</f>
        <v>31942320</v>
      </c>
      <c r="K71" s="277"/>
    </row>
    <row r="72" spans="1:11" s="173" customFormat="1" ht="15.75" x14ac:dyDescent="0.2">
      <c r="A72" s="194" t="s">
        <v>478</v>
      </c>
      <c r="B72" s="179" t="s">
        <v>0</v>
      </c>
      <c r="C72" s="191" t="s">
        <v>211</v>
      </c>
      <c r="D72" s="191" t="s">
        <v>238</v>
      </c>
      <c r="E72" s="62">
        <v>6730000000</v>
      </c>
      <c r="F72" s="192"/>
      <c r="G72" s="192"/>
      <c r="H72" s="193">
        <f>H77+H79+H81+H73+H83+H85+H89+H95+H97+H87+H91+H93+H99+H75</f>
        <v>143343706.91999999</v>
      </c>
      <c r="I72" s="193">
        <f>I77+I79+I81+I73+I83+I85+I89+I95+I97+I87+I91+I93+I99+I75</f>
        <v>20000000</v>
      </c>
      <c r="J72" s="193">
        <f>J77+J79+J81+J73+J83+J85+J89+J95+J97+J87+J91+J93+J99+J75</f>
        <v>20000000</v>
      </c>
      <c r="K72" s="212"/>
    </row>
    <row r="73" spans="1:11" s="173" customFormat="1" x14ac:dyDescent="0.2">
      <c r="A73" s="162" t="s">
        <v>682</v>
      </c>
      <c r="B73" s="180" t="s">
        <v>0</v>
      </c>
      <c r="C73" s="190" t="s">
        <v>211</v>
      </c>
      <c r="D73" s="190" t="s">
        <v>238</v>
      </c>
      <c r="E73" s="59">
        <v>6730010053</v>
      </c>
      <c r="F73" s="183"/>
      <c r="G73" s="183"/>
      <c r="H73" s="24">
        <f>H74</f>
        <v>19777606.219999999</v>
      </c>
      <c r="I73" s="24">
        <f>I74</f>
        <v>0</v>
      </c>
      <c r="J73" s="24">
        <f>J74</f>
        <v>0</v>
      </c>
      <c r="K73" s="212"/>
    </row>
    <row r="74" spans="1:11" s="173" customFormat="1" x14ac:dyDescent="0.2">
      <c r="A74" s="72" t="s">
        <v>172</v>
      </c>
      <c r="B74" s="180" t="s">
        <v>0</v>
      </c>
      <c r="C74" s="190" t="s">
        <v>211</v>
      </c>
      <c r="D74" s="190" t="s">
        <v>238</v>
      </c>
      <c r="E74" s="59">
        <v>6730010053</v>
      </c>
      <c r="F74" s="183" t="s">
        <v>179</v>
      </c>
      <c r="G74" s="183" t="s">
        <v>315</v>
      </c>
      <c r="H74" s="24">
        <v>19777606.219999999</v>
      </c>
      <c r="I74" s="24">
        <v>0</v>
      </c>
      <c r="J74" s="24">
        <v>0</v>
      </c>
      <c r="K74" s="212"/>
    </row>
    <row r="75" spans="1:11" s="173" customFormat="1" ht="30" x14ac:dyDescent="0.2">
      <c r="A75" s="72" t="s">
        <v>623</v>
      </c>
      <c r="B75" s="180" t="s">
        <v>0</v>
      </c>
      <c r="C75" s="190" t="s">
        <v>211</v>
      </c>
      <c r="D75" s="190" t="s">
        <v>238</v>
      </c>
      <c r="E75" s="59">
        <v>6730062690</v>
      </c>
      <c r="F75" s="183"/>
      <c r="G75" s="183"/>
      <c r="H75" s="24">
        <f>H76</f>
        <v>8000000</v>
      </c>
      <c r="I75" s="24">
        <f>I76</f>
        <v>0</v>
      </c>
      <c r="J75" s="24">
        <f>J76</f>
        <v>0</v>
      </c>
      <c r="K75" s="212"/>
    </row>
    <row r="76" spans="1:11" s="173" customFormat="1" x14ac:dyDescent="0.2">
      <c r="A76" s="72" t="s">
        <v>172</v>
      </c>
      <c r="B76" s="180" t="s">
        <v>0</v>
      </c>
      <c r="C76" s="190" t="s">
        <v>211</v>
      </c>
      <c r="D76" s="190" t="s">
        <v>238</v>
      </c>
      <c r="E76" s="59">
        <v>6730062690</v>
      </c>
      <c r="F76" s="183" t="s">
        <v>179</v>
      </c>
      <c r="G76" s="183" t="s">
        <v>315</v>
      </c>
      <c r="H76" s="24">
        <v>8000000</v>
      </c>
      <c r="I76" s="24"/>
      <c r="J76" s="24"/>
      <c r="K76" s="212"/>
    </row>
    <row r="77" spans="1:11" s="173" customFormat="1" ht="45" x14ac:dyDescent="0.2">
      <c r="A77" s="162" t="s">
        <v>320</v>
      </c>
      <c r="B77" s="180" t="s">
        <v>0</v>
      </c>
      <c r="C77" s="190" t="s">
        <v>211</v>
      </c>
      <c r="D77" s="190" t="s">
        <v>238</v>
      </c>
      <c r="E77" s="59">
        <v>6730063450</v>
      </c>
      <c r="F77" s="183"/>
      <c r="G77" s="183"/>
      <c r="H77" s="24">
        <f>H78</f>
        <v>10286000</v>
      </c>
      <c r="I77" s="24">
        <v>0</v>
      </c>
      <c r="J77" s="24">
        <v>0</v>
      </c>
      <c r="K77" s="212"/>
    </row>
    <row r="78" spans="1:11" s="173" customFormat="1" x14ac:dyDescent="0.2">
      <c r="A78" s="72" t="s">
        <v>172</v>
      </c>
      <c r="B78" s="180" t="s">
        <v>0</v>
      </c>
      <c r="C78" s="190" t="s">
        <v>211</v>
      </c>
      <c r="D78" s="190" t="s">
        <v>238</v>
      </c>
      <c r="E78" s="59">
        <v>6730063450</v>
      </c>
      <c r="F78" s="183" t="s">
        <v>179</v>
      </c>
      <c r="G78" s="183" t="s">
        <v>315</v>
      </c>
      <c r="H78" s="24">
        <v>10286000</v>
      </c>
      <c r="I78" s="24">
        <v>0</v>
      </c>
      <c r="J78" s="24">
        <v>0</v>
      </c>
      <c r="K78" s="212"/>
    </row>
    <row r="79" spans="1:11" s="173" customFormat="1" ht="60" x14ac:dyDescent="0.2">
      <c r="A79" s="162" t="s">
        <v>528</v>
      </c>
      <c r="B79" s="180" t="s">
        <v>0</v>
      </c>
      <c r="C79" s="190" t="s">
        <v>211</v>
      </c>
      <c r="D79" s="190" t="s">
        <v>238</v>
      </c>
      <c r="E79" s="59">
        <v>6730063462</v>
      </c>
      <c r="F79" s="183"/>
      <c r="G79" s="183"/>
      <c r="H79" s="24">
        <f>H80</f>
        <v>372000</v>
      </c>
      <c r="I79" s="24">
        <f>I80</f>
        <v>0</v>
      </c>
      <c r="J79" s="24">
        <f>J80</f>
        <v>0</v>
      </c>
      <c r="K79" s="212"/>
    </row>
    <row r="80" spans="1:11" s="173" customFormat="1" x14ac:dyDescent="0.2">
      <c r="A80" s="72" t="s">
        <v>172</v>
      </c>
      <c r="B80" s="180" t="s">
        <v>0</v>
      </c>
      <c r="C80" s="190" t="s">
        <v>211</v>
      </c>
      <c r="D80" s="190" t="s">
        <v>238</v>
      </c>
      <c r="E80" s="59">
        <v>6730063462</v>
      </c>
      <c r="F80" s="183" t="s">
        <v>179</v>
      </c>
      <c r="G80" s="183" t="s">
        <v>315</v>
      </c>
      <c r="H80" s="24">
        <f>1224000-852000</f>
        <v>372000</v>
      </c>
      <c r="I80" s="24">
        <v>0</v>
      </c>
      <c r="J80" s="24">
        <v>0</v>
      </c>
      <c r="K80" s="212"/>
    </row>
    <row r="81" spans="1:11" s="173" customFormat="1" ht="60" x14ac:dyDescent="0.2">
      <c r="A81" s="72" t="s">
        <v>529</v>
      </c>
      <c r="B81" s="180" t="s">
        <v>0</v>
      </c>
      <c r="C81" s="190" t="s">
        <v>211</v>
      </c>
      <c r="D81" s="190" t="s">
        <v>238</v>
      </c>
      <c r="E81" s="59">
        <v>6730063463</v>
      </c>
      <c r="F81" s="183"/>
      <c r="G81" s="183"/>
      <c r="H81" s="24">
        <f>H82</f>
        <v>5530423</v>
      </c>
      <c r="I81" s="24">
        <f>I82</f>
        <v>0</v>
      </c>
      <c r="J81" s="24">
        <f>J82</f>
        <v>0</v>
      </c>
      <c r="K81" s="212"/>
    </row>
    <row r="82" spans="1:11" s="173" customFormat="1" x14ac:dyDescent="0.2">
      <c r="A82" s="72" t="s">
        <v>172</v>
      </c>
      <c r="B82" s="180" t="s">
        <v>0</v>
      </c>
      <c r="C82" s="190" t="s">
        <v>211</v>
      </c>
      <c r="D82" s="190" t="s">
        <v>238</v>
      </c>
      <c r="E82" s="59">
        <v>6730063463</v>
      </c>
      <c r="F82" s="183" t="s">
        <v>179</v>
      </c>
      <c r="G82" s="183" t="s">
        <v>315</v>
      </c>
      <c r="H82" s="24">
        <f>2555000+2975423</f>
        <v>5530423</v>
      </c>
      <c r="I82" s="24">
        <v>0</v>
      </c>
      <c r="J82" s="24">
        <v>0</v>
      </c>
      <c r="K82" s="212"/>
    </row>
    <row r="83" spans="1:11" s="173" customFormat="1" ht="60" x14ac:dyDescent="0.2">
      <c r="A83" s="72" t="s">
        <v>530</v>
      </c>
      <c r="B83" s="180" t="s">
        <v>0</v>
      </c>
      <c r="C83" s="190" t="s">
        <v>211</v>
      </c>
      <c r="D83" s="190" t="s">
        <v>238</v>
      </c>
      <c r="E83" s="59">
        <v>6730063464</v>
      </c>
      <c r="F83" s="183"/>
      <c r="G83" s="183"/>
      <c r="H83" s="24">
        <f>H84</f>
        <v>4839536.25</v>
      </c>
      <c r="I83" s="24">
        <f>I84</f>
        <v>0</v>
      </c>
      <c r="J83" s="24">
        <f>J84</f>
        <v>0</v>
      </c>
      <c r="K83" s="212"/>
    </row>
    <row r="84" spans="1:11" s="173" customFormat="1" x14ac:dyDescent="0.2">
      <c r="A84" s="72" t="s">
        <v>172</v>
      </c>
      <c r="B84" s="180" t="s">
        <v>0</v>
      </c>
      <c r="C84" s="190" t="s">
        <v>211</v>
      </c>
      <c r="D84" s="190" t="s">
        <v>238</v>
      </c>
      <c r="E84" s="59">
        <v>6730063464</v>
      </c>
      <c r="F84" s="183" t="s">
        <v>179</v>
      </c>
      <c r="G84" s="183" t="s">
        <v>315</v>
      </c>
      <c r="H84" s="24">
        <f>6534946.35-1695410.1</f>
        <v>4839536.25</v>
      </c>
      <c r="I84" s="24">
        <v>0</v>
      </c>
      <c r="J84" s="24">
        <v>0</v>
      </c>
      <c r="K84" s="212"/>
    </row>
    <row r="85" spans="1:11" s="173" customFormat="1" ht="60" x14ac:dyDescent="0.2">
      <c r="A85" s="72" t="s">
        <v>531</v>
      </c>
      <c r="B85" s="180" t="s">
        <v>0</v>
      </c>
      <c r="C85" s="190" t="s">
        <v>211</v>
      </c>
      <c r="D85" s="190" t="s">
        <v>238</v>
      </c>
      <c r="E85" s="59">
        <v>6730063465</v>
      </c>
      <c r="F85" s="183"/>
      <c r="G85" s="183"/>
      <c r="H85" s="24">
        <f>H86</f>
        <v>1287854.0499999998</v>
      </c>
      <c r="I85" s="24">
        <f>I86</f>
        <v>0</v>
      </c>
      <c r="J85" s="24">
        <f>J86</f>
        <v>0</v>
      </c>
      <c r="K85" s="212"/>
    </row>
    <row r="86" spans="1:11" s="173" customFormat="1" x14ac:dyDescent="0.2">
      <c r="A86" s="72" t="s">
        <v>172</v>
      </c>
      <c r="B86" s="180" t="s">
        <v>0</v>
      </c>
      <c r="C86" s="190" t="s">
        <v>211</v>
      </c>
      <c r="D86" s="190" t="s">
        <v>238</v>
      </c>
      <c r="E86" s="59">
        <v>6730063465</v>
      </c>
      <c r="F86" s="183" t="s">
        <v>179</v>
      </c>
      <c r="G86" s="183" t="s">
        <v>315</v>
      </c>
      <c r="H86" s="24">
        <f>1715866.95-428012.9</f>
        <v>1287854.0499999998</v>
      </c>
      <c r="I86" s="24">
        <v>0</v>
      </c>
      <c r="J86" s="24">
        <v>0</v>
      </c>
      <c r="K86" s="212"/>
    </row>
    <row r="87" spans="1:11" s="173" customFormat="1" ht="60" x14ac:dyDescent="0.2">
      <c r="A87" s="72" t="s">
        <v>540</v>
      </c>
      <c r="B87" s="180" t="s">
        <v>0</v>
      </c>
      <c r="C87" s="190" t="s">
        <v>211</v>
      </c>
      <c r="D87" s="190" t="s">
        <v>238</v>
      </c>
      <c r="E87" s="59">
        <v>6730063466</v>
      </c>
      <c r="F87" s="183"/>
      <c r="G87" s="183"/>
      <c r="H87" s="24">
        <f>H88</f>
        <v>33300</v>
      </c>
      <c r="I87" s="24">
        <f>I88</f>
        <v>0</v>
      </c>
      <c r="J87" s="24">
        <f>J88</f>
        <v>0</v>
      </c>
      <c r="K87" s="212"/>
    </row>
    <row r="88" spans="1:11" s="173" customFormat="1" x14ac:dyDescent="0.2">
      <c r="A88" s="72" t="s">
        <v>172</v>
      </c>
      <c r="B88" s="180" t="s">
        <v>0</v>
      </c>
      <c r="C88" s="190" t="s">
        <v>211</v>
      </c>
      <c r="D88" s="190" t="s">
        <v>238</v>
      </c>
      <c r="E88" s="59">
        <v>6730063466</v>
      </c>
      <c r="F88" s="183" t="s">
        <v>179</v>
      </c>
      <c r="G88" s="183" t="s">
        <v>315</v>
      </c>
      <c r="H88" s="24">
        <v>33300</v>
      </c>
      <c r="I88" s="24">
        <v>0</v>
      </c>
      <c r="J88" s="24">
        <v>0</v>
      </c>
      <c r="K88" s="212"/>
    </row>
    <row r="89" spans="1:11" s="173" customFormat="1" ht="75" x14ac:dyDescent="0.2">
      <c r="A89" s="72" t="s">
        <v>532</v>
      </c>
      <c r="B89" s="180" t="s">
        <v>0</v>
      </c>
      <c r="C89" s="190" t="s">
        <v>211</v>
      </c>
      <c r="D89" s="190" t="s">
        <v>238</v>
      </c>
      <c r="E89" s="59">
        <v>6730063471</v>
      </c>
      <c r="F89" s="183"/>
      <c r="G89" s="183"/>
      <c r="H89" s="24">
        <f>H90</f>
        <v>79080000</v>
      </c>
      <c r="I89" s="24">
        <f>I90</f>
        <v>20000000</v>
      </c>
      <c r="J89" s="24">
        <f>J90</f>
        <v>20000000</v>
      </c>
      <c r="K89" s="212"/>
    </row>
    <row r="90" spans="1:11" s="173" customFormat="1" x14ac:dyDescent="0.2">
      <c r="A90" s="72" t="s">
        <v>172</v>
      </c>
      <c r="B90" s="180" t="s">
        <v>0</v>
      </c>
      <c r="C90" s="190" t="s">
        <v>211</v>
      </c>
      <c r="D90" s="190" t="s">
        <v>238</v>
      </c>
      <c r="E90" s="59">
        <v>6730063471</v>
      </c>
      <c r="F90" s="183" t="s">
        <v>179</v>
      </c>
      <c r="G90" s="183" t="s">
        <v>315</v>
      </c>
      <c r="H90" s="24">
        <v>79080000</v>
      </c>
      <c r="I90" s="24">
        <v>20000000</v>
      </c>
      <c r="J90" s="24">
        <v>20000000</v>
      </c>
      <c r="K90" s="212"/>
    </row>
    <row r="91" spans="1:11" s="173" customFormat="1" ht="60" x14ac:dyDescent="0.2">
      <c r="A91" s="72" t="s">
        <v>541</v>
      </c>
      <c r="B91" s="180" t="s">
        <v>0</v>
      </c>
      <c r="C91" s="190" t="s">
        <v>211</v>
      </c>
      <c r="D91" s="190" t="s">
        <v>238</v>
      </c>
      <c r="E91" s="59">
        <v>6730063472</v>
      </c>
      <c r="F91" s="183"/>
      <c r="G91" s="183"/>
      <c r="H91" s="24">
        <f>H92</f>
        <v>2310000</v>
      </c>
      <c r="I91" s="24">
        <f>I92</f>
        <v>0</v>
      </c>
      <c r="J91" s="24">
        <f>J92</f>
        <v>0</v>
      </c>
      <c r="K91" s="212"/>
    </row>
    <row r="92" spans="1:11" s="173" customFormat="1" x14ac:dyDescent="0.2">
      <c r="A92" s="72" t="s">
        <v>172</v>
      </c>
      <c r="B92" s="180" t="s">
        <v>0</v>
      </c>
      <c r="C92" s="190" t="s">
        <v>211</v>
      </c>
      <c r="D92" s="190" t="s">
        <v>238</v>
      </c>
      <c r="E92" s="59">
        <v>6730063472</v>
      </c>
      <c r="F92" s="183" t="s">
        <v>179</v>
      </c>
      <c r="G92" s="183" t="s">
        <v>315</v>
      </c>
      <c r="H92" s="24">
        <v>2310000</v>
      </c>
      <c r="I92" s="24">
        <v>0</v>
      </c>
      <c r="J92" s="24">
        <v>0</v>
      </c>
      <c r="K92" s="212"/>
    </row>
    <row r="93" spans="1:11" s="173" customFormat="1" ht="75" x14ac:dyDescent="0.2">
      <c r="A93" s="72" t="s">
        <v>542</v>
      </c>
      <c r="B93" s="180" t="s">
        <v>0</v>
      </c>
      <c r="C93" s="190" t="s">
        <v>211</v>
      </c>
      <c r="D93" s="190" t="s">
        <v>238</v>
      </c>
      <c r="E93" s="59">
        <v>6730063473</v>
      </c>
      <c r="F93" s="183"/>
      <c r="G93" s="183"/>
      <c r="H93" s="24">
        <f>H94</f>
        <v>480000</v>
      </c>
      <c r="I93" s="24">
        <f>I94</f>
        <v>0</v>
      </c>
      <c r="J93" s="24">
        <f>J94</f>
        <v>0</v>
      </c>
      <c r="K93" s="212"/>
    </row>
    <row r="94" spans="1:11" s="173" customFormat="1" x14ac:dyDescent="0.2">
      <c r="A94" s="72" t="s">
        <v>172</v>
      </c>
      <c r="B94" s="180" t="s">
        <v>0</v>
      </c>
      <c r="C94" s="190" t="s">
        <v>211</v>
      </c>
      <c r="D94" s="190" t="s">
        <v>238</v>
      </c>
      <c r="E94" s="59">
        <v>6730063473</v>
      </c>
      <c r="F94" s="183" t="s">
        <v>179</v>
      </c>
      <c r="G94" s="183" t="s">
        <v>315</v>
      </c>
      <c r="H94" s="24">
        <v>480000</v>
      </c>
      <c r="I94" s="24">
        <v>0</v>
      </c>
      <c r="J94" s="24">
        <v>0</v>
      </c>
      <c r="K94" s="212"/>
    </row>
    <row r="95" spans="1:11" s="173" customFormat="1" ht="60" x14ac:dyDescent="0.2">
      <c r="A95" s="72" t="s">
        <v>533</v>
      </c>
      <c r="B95" s="180" t="s">
        <v>0</v>
      </c>
      <c r="C95" s="190" t="s">
        <v>211</v>
      </c>
      <c r="D95" s="190" t="s">
        <v>238</v>
      </c>
      <c r="E95" s="59">
        <v>6730063474</v>
      </c>
      <c r="F95" s="183"/>
      <c r="G95" s="183"/>
      <c r="H95" s="24">
        <f>H96</f>
        <v>5518000</v>
      </c>
      <c r="I95" s="24">
        <f>I96</f>
        <v>0</v>
      </c>
      <c r="J95" s="24">
        <f>J96</f>
        <v>0</v>
      </c>
      <c r="K95" s="212"/>
    </row>
    <row r="96" spans="1:11" s="173" customFormat="1" x14ac:dyDescent="0.2">
      <c r="A96" s="72" t="s">
        <v>172</v>
      </c>
      <c r="B96" s="180" t="s">
        <v>0</v>
      </c>
      <c r="C96" s="190" t="s">
        <v>211</v>
      </c>
      <c r="D96" s="190" t="s">
        <v>238</v>
      </c>
      <c r="E96" s="59">
        <v>6730063474</v>
      </c>
      <c r="F96" s="183" t="s">
        <v>179</v>
      </c>
      <c r="G96" s="183" t="s">
        <v>315</v>
      </c>
      <c r="H96" s="24">
        <v>5518000</v>
      </c>
      <c r="I96" s="24">
        <v>0</v>
      </c>
      <c r="J96" s="24">
        <v>0</v>
      </c>
      <c r="K96" s="212"/>
    </row>
    <row r="97" spans="1:11" s="173" customFormat="1" ht="60" x14ac:dyDescent="0.2">
      <c r="A97" s="72" t="s">
        <v>534</v>
      </c>
      <c r="B97" s="180" t="s">
        <v>0</v>
      </c>
      <c r="C97" s="190" t="s">
        <v>211</v>
      </c>
      <c r="D97" s="190" t="s">
        <v>238</v>
      </c>
      <c r="E97" s="59">
        <v>6730063475</v>
      </c>
      <c r="F97" s="183"/>
      <c r="G97" s="183"/>
      <c r="H97" s="24">
        <f>H98</f>
        <v>3148000</v>
      </c>
      <c r="I97" s="24">
        <f>I98</f>
        <v>0</v>
      </c>
      <c r="J97" s="24">
        <f>J98</f>
        <v>0</v>
      </c>
      <c r="K97" s="212"/>
    </row>
    <row r="98" spans="1:11" s="173" customFormat="1" x14ac:dyDescent="0.2">
      <c r="A98" s="72" t="s">
        <v>172</v>
      </c>
      <c r="B98" s="180" t="s">
        <v>0</v>
      </c>
      <c r="C98" s="190" t="s">
        <v>211</v>
      </c>
      <c r="D98" s="190" t="s">
        <v>238</v>
      </c>
      <c r="E98" s="59">
        <v>6730063475</v>
      </c>
      <c r="F98" s="183" t="s">
        <v>179</v>
      </c>
      <c r="G98" s="183" t="s">
        <v>315</v>
      </c>
      <c r="H98" s="24">
        <v>3148000</v>
      </c>
      <c r="I98" s="24">
        <v>0</v>
      </c>
      <c r="J98" s="24">
        <v>0</v>
      </c>
      <c r="K98" s="212"/>
    </row>
    <row r="99" spans="1:11" s="173" customFormat="1" x14ac:dyDescent="0.2">
      <c r="A99" s="72" t="s">
        <v>622</v>
      </c>
      <c r="B99" s="180" t="s">
        <v>0</v>
      </c>
      <c r="C99" s="190" t="s">
        <v>211</v>
      </c>
      <c r="D99" s="190" t="s">
        <v>238</v>
      </c>
      <c r="E99" s="59">
        <v>6730065840</v>
      </c>
      <c r="F99" s="183"/>
      <c r="G99" s="183"/>
      <c r="H99" s="24">
        <f>H100</f>
        <v>2680987.4</v>
      </c>
      <c r="I99" s="24">
        <f>I100</f>
        <v>0</v>
      </c>
      <c r="J99" s="24">
        <f>J100</f>
        <v>0</v>
      </c>
      <c r="K99" s="212"/>
    </row>
    <row r="100" spans="1:11" s="173" customFormat="1" x14ac:dyDescent="0.2">
      <c r="A100" s="72" t="s">
        <v>172</v>
      </c>
      <c r="B100" s="180" t="s">
        <v>0</v>
      </c>
      <c r="C100" s="190" t="s">
        <v>211</v>
      </c>
      <c r="D100" s="190" t="s">
        <v>238</v>
      </c>
      <c r="E100" s="59">
        <v>6730065840</v>
      </c>
      <c r="F100" s="183" t="s">
        <v>179</v>
      </c>
      <c r="G100" s="183" t="s">
        <v>315</v>
      </c>
      <c r="H100" s="24">
        <v>2680987.4</v>
      </c>
      <c r="I100" s="24"/>
      <c r="J100" s="24"/>
      <c r="K100" s="212"/>
    </row>
    <row r="101" spans="1:11" s="185" customFormat="1" ht="15.75" x14ac:dyDescent="0.25">
      <c r="A101" s="293" t="s">
        <v>474</v>
      </c>
      <c r="B101" s="179" t="s">
        <v>0</v>
      </c>
      <c r="C101" s="191" t="s">
        <v>211</v>
      </c>
      <c r="D101" s="191" t="s">
        <v>238</v>
      </c>
      <c r="E101" s="62">
        <v>6740000000</v>
      </c>
      <c r="F101" s="192"/>
      <c r="G101" s="192"/>
      <c r="H101" s="193">
        <f>H102</f>
        <v>15444085.699999999</v>
      </c>
      <c r="I101" s="193">
        <f>I102</f>
        <v>11942320</v>
      </c>
      <c r="J101" s="193">
        <f>J102</f>
        <v>11942320</v>
      </c>
      <c r="K101" s="277"/>
    </row>
    <row r="102" spans="1:11" s="173" customFormat="1" ht="45" x14ac:dyDescent="0.2">
      <c r="A102" s="72" t="s">
        <v>319</v>
      </c>
      <c r="B102" s="180" t="s">
        <v>0</v>
      </c>
      <c r="C102" s="190" t="s">
        <v>211</v>
      </c>
      <c r="D102" s="190" t="s">
        <v>238</v>
      </c>
      <c r="E102" s="59">
        <v>6740063250</v>
      </c>
      <c r="F102" s="183"/>
      <c r="G102" s="183"/>
      <c r="H102" s="24">
        <f>H103+H104</f>
        <v>15444085.699999999</v>
      </c>
      <c r="I102" s="24">
        <f>I103+I104</f>
        <v>11942320</v>
      </c>
      <c r="J102" s="24">
        <f>J103+J104</f>
        <v>11942320</v>
      </c>
      <c r="K102" s="212"/>
    </row>
    <row r="103" spans="1:11" s="173" customFormat="1" ht="60" x14ac:dyDescent="0.2">
      <c r="A103" s="72" t="s">
        <v>169</v>
      </c>
      <c r="B103" s="180" t="s">
        <v>0</v>
      </c>
      <c r="C103" s="190" t="s">
        <v>211</v>
      </c>
      <c r="D103" s="190" t="s">
        <v>238</v>
      </c>
      <c r="E103" s="59">
        <v>6740063250</v>
      </c>
      <c r="F103" s="183" t="s">
        <v>178</v>
      </c>
      <c r="G103" s="183" t="s">
        <v>315</v>
      </c>
      <c r="H103" s="24">
        <f>11489017.77+3501761.03+143282</f>
        <v>15134060.799999999</v>
      </c>
      <c r="I103" s="24">
        <v>11489013.1</v>
      </c>
      <c r="J103" s="24">
        <v>11489013.1</v>
      </c>
      <c r="K103" s="212"/>
    </row>
    <row r="104" spans="1:11" s="173" customFormat="1" ht="30" x14ac:dyDescent="0.2">
      <c r="A104" s="72" t="s">
        <v>170</v>
      </c>
      <c r="B104" s="180" t="s">
        <v>0</v>
      </c>
      <c r="C104" s="190" t="s">
        <v>211</v>
      </c>
      <c r="D104" s="190" t="s">
        <v>238</v>
      </c>
      <c r="E104" s="59">
        <v>6740063250</v>
      </c>
      <c r="F104" s="183" t="s">
        <v>181</v>
      </c>
      <c r="G104" s="183" t="s">
        <v>315</v>
      </c>
      <c r="H104" s="24">
        <f>453306.9-143282</f>
        <v>310024.90000000002</v>
      </c>
      <c r="I104" s="24">
        <v>453306.9</v>
      </c>
      <c r="J104" s="24">
        <v>453306.9</v>
      </c>
      <c r="K104" s="212"/>
    </row>
    <row r="105" spans="1:11" s="173" customFormat="1" ht="15.75" x14ac:dyDescent="0.2">
      <c r="A105" s="195" t="s">
        <v>200</v>
      </c>
      <c r="B105" s="179" t="s">
        <v>0</v>
      </c>
      <c r="C105" s="191" t="s">
        <v>211</v>
      </c>
      <c r="D105" s="191" t="s">
        <v>238</v>
      </c>
      <c r="E105" s="62">
        <v>9900000000</v>
      </c>
      <c r="F105" s="192"/>
      <c r="G105" s="192"/>
      <c r="H105" s="193">
        <f t="shared" ref="H105:J107" si="8">H106</f>
        <v>4916117.3499999996</v>
      </c>
      <c r="I105" s="193">
        <f t="shared" si="8"/>
        <v>0</v>
      </c>
      <c r="J105" s="193">
        <f t="shared" si="8"/>
        <v>0</v>
      </c>
      <c r="K105" s="277"/>
    </row>
    <row r="106" spans="1:11" s="173" customFormat="1" x14ac:dyDescent="0.2">
      <c r="A106" s="214" t="s">
        <v>273</v>
      </c>
      <c r="B106" s="180" t="s">
        <v>0</v>
      </c>
      <c r="C106" s="190" t="s">
        <v>211</v>
      </c>
      <c r="D106" s="190" t="s">
        <v>238</v>
      </c>
      <c r="E106" s="59">
        <v>9960000000</v>
      </c>
      <c r="F106" s="183"/>
      <c r="G106" s="183"/>
      <c r="H106" s="24">
        <f t="shared" si="8"/>
        <v>4916117.3499999996</v>
      </c>
      <c r="I106" s="24">
        <f t="shared" si="8"/>
        <v>0</v>
      </c>
      <c r="J106" s="24">
        <f t="shared" si="8"/>
        <v>0</v>
      </c>
      <c r="K106" s="212"/>
    </row>
    <row r="107" spans="1:11" s="173" customFormat="1" ht="45" x14ac:dyDescent="0.2">
      <c r="A107" s="157" t="s">
        <v>470</v>
      </c>
      <c r="B107" s="180" t="s">
        <v>0</v>
      </c>
      <c r="C107" s="190" t="s">
        <v>211</v>
      </c>
      <c r="D107" s="190" t="s">
        <v>238</v>
      </c>
      <c r="E107" s="190" t="s">
        <v>471</v>
      </c>
      <c r="F107" s="183"/>
      <c r="G107" s="183"/>
      <c r="H107" s="189">
        <f t="shared" si="8"/>
        <v>4916117.3499999996</v>
      </c>
      <c r="I107" s="189">
        <f t="shared" si="8"/>
        <v>0</v>
      </c>
      <c r="J107" s="189">
        <f t="shared" si="8"/>
        <v>0</v>
      </c>
      <c r="K107" s="273"/>
    </row>
    <row r="108" spans="1:11" s="173" customFormat="1" x14ac:dyDescent="0.2">
      <c r="A108" s="162" t="s">
        <v>273</v>
      </c>
      <c r="B108" s="180" t="s">
        <v>0</v>
      </c>
      <c r="C108" s="190" t="s">
        <v>211</v>
      </c>
      <c r="D108" s="190" t="s">
        <v>238</v>
      </c>
      <c r="E108" s="190" t="s">
        <v>471</v>
      </c>
      <c r="F108" s="183" t="s">
        <v>277</v>
      </c>
      <c r="G108" s="183" t="s">
        <v>315</v>
      </c>
      <c r="H108" s="189">
        <f>4916110+7.35</f>
        <v>4916117.3499999996</v>
      </c>
      <c r="I108" s="189">
        <v>0</v>
      </c>
      <c r="J108" s="189">
        <v>0</v>
      </c>
      <c r="K108" s="273"/>
    </row>
    <row r="109" spans="1:11" s="185" customFormat="1" ht="15.75" x14ac:dyDescent="0.25">
      <c r="A109" s="79" t="s">
        <v>285</v>
      </c>
      <c r="B109" s="179" t="s">
        <v>0</v>
      </c>
      <c r="C109" s="191" t="s">
        <v>211</v>
      </c>
      <c r="D109" s="191" t="s">
        <v>253</v>
      </c>
      <c r="E109" s="191"/>
      <c r="F109" s="192"/>
      <c r="G109" s="192"/>
      <c r="H109" s="334">
        <f t="shared" ref="H109:J112" si="9">H110</f>
        <v>36124304.43</v>
      </c>
      <c r="I109" s="334">
        <f t="shared" si="9"/>
        <v>0</v>
      </c>
      <c r="J109" s="334">
        <f t="shared" si="9"/>
        <v>0</v>
      </c>
      <c r="K109" s="317"/>
    </row>
    <row r="110" spans="1:11" s="173" customFormat="1" ht="30" x14ac:dyDescent="0.2">
      <c r="A110" s="162" t="s">
        <v>180</v>
      </c>
      <c r="B110" s="180" t="s">
        <v>0</v>
      </c>
      <c r="C110" s="190" t="s">
        <v>211</v>
      </c>
      <c r="D110" s="190" t="s">
        <v>253</v>
      </c>
      <c r="E110" s="190" t="s">
        <v>492</v>
      </c>
      <c r="F110" s="183"/>
      <c r="G110" s="183"/>
      <c r="H110" s="189">
        <f t="shared" si="9"/>
        <v>36124304.43</v>
      </c>
      <c r="I110" s="189">
        <f t="shared" si="9"/>
        <v>0</v>
      </c>
      <c r="J110" s="189">
        <f t="shared" si="9"/>
        <v>0</v>
      </c>
      <c r="K110" s="273"/>
    </row>
    <row r="111" spans="1:11" s="173" customFormat="1" x14ac:dyDescent="0.2">
      <c r="A111" s="162" t="s">
        <v>474</v>
      </c>
      <c r="B111" s="180" t="s">
        <v>0</v>
      </c>
      <c r="C111" s="190" t="s">
        <v>211</v>
      </c>
      <c r="D111" s="190" t="s">
        <v>253</v>
      </c>
      <c r="E111" s="190" t="s">
        <v>624</v>
      </c>
      <c r="F111" s="183"/>
      <c r="G111" s="183"/>
      <c r="H111" s="189">
        <f t="shared" si="9"/>
        <v>36124304.43</v>
      </c>
      <c r="I111" s="189">
        <f t="shared" si="9"/>
        <v>0</v>
      </c>
      <c r="J111" s="189">
        <f t="shared" si="9"/>
        <v>0</v>
      </c>
      <c r="K111" s="273"/>
    </row>
    <row r="112" spans="1:11" s="173" customFormat="1" ht="60" x14ac:dyDescent="0.2">
      <c r="A112" s="162" t="s">
        <v>626</v>
      </c>
      <c r="B112" s="180" t="s">
        <v>0</v>
      </c>
      <c r="C112" s="190" t="s">
        <v>211</v>
      </c>
      <c r="D112" s="190" t="s">
        <v>253</v>
      </c>
      <c r="E112" s="190" t="s">
        <v>625</v>
      </c>
      <c r="F112" s="183"/>
      <c r="G112" s="183"/>
      <c r="H112" s="189">
        <f t="shared" si="9"/>
        <v>36124304.43</v>
      </c>
      <c r="I112" s="189">
        <f t="shared" si="9"/>
        <v>0</v>
      </c>
      <c r="J112" s="189">
        <f t="shared" si="9"/>
        <v>0</v>
      </c>
      <c r="K112" s="273"/>
    </row>
    <row r="113" spans="1:11" s="173" customFormat="1" ht="30" x14ac:dyDescent="0.2">
      <c r="A113" s="72" t="s">
        <v>170</v>
      </c>
      <c r="B113" s="180" t="s">
        <v>0</v>
      </c>
      <c r="C113" s="190" t="s">
        <v>211</v>
      </c>
      <c r="D113" s="190" t="s">
        <v>253</v>
      </c>
      <c r="E113" s="190" t="s">
        <v>625</v>
      </c>
      <c r="F113" s="183" t="s">
        <v>181</v>
      </c>
      <c r="G113" s="183" t="s">
        <v>315</v>
      </c>
      <c r="H113" s="189">
        <v>36124304.43</v>
      </c>
      <c r="I113" s="189">
        <v>0</v>
      </c>
      <c r="J113" s="189">
        <v>0</v>
      </c>
      <c r="K113" s="273"/>
    </row>
    <row r="114" spans="1:11" s="173" customFormat="1" ht="15.75" x14ac:dyDescent="0.2">
      <c r="A114" s="197" t="s">
        <v>247</v>
      </c>
      <c r="B114" s="180" t="s">
        <v>0</v>
      </c>
      <c r="C114" s="191" t="s">
        <v>248</v>
      </c>
      <c r="D114" s="191"/>
      <c r="E114" s="191"/>
      <c r="F114" s="192"/>
      <c r="G114" s="192"/>
      <c r="H114" s="193">
        <f>H115+H127+H168+H184+H179</f>
        <v>1320933138.6299999</v>
      </c>
      <c r="I114" s="193">
        <f>I115+I127+I168+I184+I179</f>
        <v>1255678740.6500001</v>
      </c>
      <c r="J114" s="193">
        <f>J115+J127+J168+J184+J179</f>
        <v>1257263599.6500001</v>
      </c>
      <c r="K114" s="277"/>
    </row>
    <row r="115" spans="1:11" s="173" customFormat="1" ht="15.75" x14ac:dyDescent="0.2">
      <c r="A115" s="197" t="s">
        <v>249</v>
      </c>
      <c r="B115" s="179" t="s">
        <v>0</v>
      </c>
      <c r="C115" s="191" t="s">
        <v>248</v>
      </c>
      <c r="D115" s="191" t="s">
        <v>197</v>
      </c>
      <c r="E115" s="191"/>
      <c r="F115" s="191"/>
      <c r="G115" s="191"/>
      <c r="H115" s="193">
        <f t="shared" ref="H115:J116" si="10">H116</f>
        <v>417646003.54000002</v>
      </c>
      <c r="I115" s="193">
        <f t="shared" si="10"/>
        <v>401836769.64999998</v>
      </c>
      <c r="J115" s="193">
        <f t="shared" si="10"/>
        <v>401836769.64999998</v>
      </c>
      <c r="K115" s="277"/>
    </row>
    <row r="116" spans="1:11" s="173" customFormat="1" ht="15.75" x14ac:dyDescent="0.25">
      <c r="A116" s="82" t="s">
        <v>168</v>
      </c>
      <c r="B116" s="179" t="s">
        <v>0</v>
      </c>
      <c r="C116" s="191" t="s">
        <v>248</v>
      </c>
      <c r="D116" s="191" t="s">
        <v>197</v>
      </c>
      <c r="E116" s="191" t="s">
        <v>475</v>
      </c>
      <c r="F116" s="191"/>
      <c r="G116" s="191"/>
      <c r="H116" s="193">
        <f t="shared" si="10"/>
        <v>417646003.54000002</v>
      </c>
      <c r="I116" s="193">
        <f t="shared" si="10"/>
        <v>401836769.64999998</v>
      </c>
      <c r="J116" s="193">
        <f t="shared" si="10"/>
        <v>401836769.64999998</v>
      </c>
      <c r="K116" s="277"/>
    </row>
    <row r="117" spans="1:11" s="173" customFormat="1" ht="15.75" x14ac:dyDescent="0.2">
      <c r="A117" s="216" t="s">
        <v>474</v>
      </c>
      <c r="B117" s="217" t="s">
        <v>0</v>
      </c>
      <c r="C117" s="218" t="s">
        <v>248</v>
      </c>
      <c r="D117" s="218" t="s">
        <v>197</v>
      </c>
      <c r="E117" s="191" t="s">
        <v>476</v>
      </c>
      <c r="F117" s="191"/>
      <c r="G117" s="191"/>
      <c r="H117" s="330">
        <f>H122+H118+H120</f>
        <v>417646003.54000002</v>
      </c>
      <c r="I117" s="330">
        <f>I122+I118+I120</f>
        <v>401836769.64999998</v>
      </c>
      <c r="J117" s="330">
        <f>J122+J118+J120</f>
        <v>401836769.64999998</v>
      </c>
      <c r="K117" s="277"/>
    </row>
    <row r="118" spans="1:11" s="173" customFormat="1" ht="30" x14ac:dyDescent="0.2">
      <c r="A118" s="199" t="s">
        <v>678</v>
      </c>
      <c r="B118" s="180" t="s">
        <v>0</v>
      </c>
      <c r="C118" s="190" t="s">
        <v>248</v>
      </c>
      <c r="D118" s="190" t="s">
        <v>197</v>
      </c>
      <c r="E118" s="190" t="s">
        <v>677</v>
      </c>
      <c r="F118" s="190"/>
      <c r="G118" s="190"/>
      <c r="H118" s="219">
        <f>H119</f>
        <v>5947337.1500000004</v>
      </c>
      <c r="I118" s="219">
        <f>I119</f>
        <v>0</v>
      </c>
      <c r="J118" s="219">
        <f>J119</f>
        <v>0</v>
      </c>
      <c r="K118" s="212"/>
    </row>
    <row r="119" spans="1:11" s="173" customFormat="1" ht="60" x14ac:dyDescent="0.2">
      <c r="A119" s="72" t="s">
        <v>169</v>
      </c>
      <c r="B119" s="180" t="s">
        <v>0</v>
      </c>
      <c r="C119" s="190" t="s">
        <v>248</v>
      </c>
      <c r="D119" s="190" t="s">
        <v>197</v>
      </c>
      <c r="E119" s="190" t="s">
        <v>677</v>
      </c>
      <c r="F119" s="190" t="s">
        <v>178</v>
      </c>
      <c r="G119" s="190" t="s">
        <v>315</v>
      </c>
      <c r="H119" s="219">
        <f>2538270+2190917+1218150.15</f>
        <v>5947337.1500000004</v>
      </c>
      <c r="I119" s="219">
        <v>0</v>
      </c>
      <c r="J119" s="219">
        <v>0</v>
      </c>
      <c r="K119" s="212"/>
    </row>
    <row r="120" spans="1:11" s="173" customFormat="1" ht="75" x14ac:dyDescent="0.2">
      <c r="A120" s="198" t="s">
        <v>527</v>
      </c>
      <c r="B120" s="180" t="s">
        <v>0</v>
      </c>
      <c r="C120" s="190" t="s">
        <v>248</v>
      </c>
      <c r="D120" s="190" t="s">
        <v>197</v>
      </c>
      <c r="E120" s="190" t="s">
        <v>627</v>
      </c>
      <c r="F120" s="183"/>
      <c r="G120" s="183"/>
      <c r="H120" s="189">
        <f>H121</f>
        <v>771800</v>
      </c>
      <c r="I120" s="189">
        <f>I121</f>
        <v>828000</v>
      </c>
      <c r="J120" s="189">
        <f>J121</f>
        <v>828000</v>
      </c>
      <c r="K120" s="212"/>
    </row>
    <row r="121" spans="1:11" s="173" customFormat="1" ht="60" x14ac:dyDescent="0.2">
      <c r="A121" s="72" t="s">
        <v>169</v>
      </c>
      <c r="B121" s="180" t="s">
        <v>0</v>
      </c>
      <c r="C121" s="190" t="s">
        <v>248</v>
      </c>
      <c r="D121" s="190" t="s">
        <v>197</v>
      </c>
      <c r="E121" s="190" t="s">
        <v>627</v>
      </c>
      <c r="F121" s="183" t="s">
        <v>178</v>
      </c>
      <c r="G121" s="183" t="s">
        <v>315</v>
      </c>
      <c r="H121" s="189">
        <f>849600-77800</f>
        <v>771800</v>
      </c>
      <c r="I121" s="189">
        <v>828000</v>
      </c>
      <c r="J121" s="25">
        <v>828000</v>
      </c>
      <c r="K121" s="212"/>
    </row>
    <row r="122" spans="1:11" s="173" customFormat="1" ht="30" x14ac:dyDescent="0.2">
      <c r="A122" s="72" t="s">
        <v>547</v>
      </c>
      <c r="B122" s="180" t="s">
        <v>0</v>
      </c>
      <c r="C122" s="190" t="s">
        <v>248</v>
      </c>
      <c r="D122" s="190" t="s">
        <v>197</v>
      </c>
      <c r="E122" s="190" t="s">
        <v>546</v>
      </c>
      <c r="F122" s="190"/>
      <c r="G122" s="190"/>
      <c r="H122" s="219">
        <f>H123</f>
        <v>410926866.39000005</v>
      </c>
      <c r="I122" s="219">
        <f>I123</f>
        <v>401008769.64999998</v>
      </c>
      <c r="J122" s="219">
        <f>J123</f>
        <v>401008769.64999998</v>
      </c>
      <c r="K122" s="212"/>
    </row>
    <row r="123" spans="1:11" s="173" customFormat="1" ht="45" x14ac:dyDescent="0.2">
      <c r="A123" s="198" t="s">
        <v>321</v>
      </c>
      <c r="B123" s="180" t="s">
        <v>0</v>
      </c>
      <c r="C123" s="190" t="s">
        <v>248</v>
      </c>
      <c r="D123" s="190" t="s">
        <v>197</v>
      </c>
      <c r="E123" s="190" t="s">
        <v>544</v>
      </c>
      <c r="F123" s="190"/>
      <c r="G123" s="190"/>
      <c r="H123" s="189">
        <f>SUM(H124:H126)</f>
        <v>410926866.39000005</v>
      </c>
      <c r="I123" s="189">
        <f>SUM(I124:I126)</f>
        <v>401008769.64999998</v>
      </c>
      <c r="J123" s="189">
        <f>SUM(J124:J126)</f>
        <v>401008769.64999998</v>
      </c>
      <c r="K123" s="273"/>
    </row>
    <row r="124" spans="1:11" s="173" customFormat="1" ht="60" x14ac:dyDescent="0.2">
      <c r="A124" s="72" t="s">
        <v>169</v>
      </c>
      <c r="B124" s="180" t="s">
        <v>0</v>
      </c>
      <c r="C124" s="190" t="s">
        <v>248</v>
      </c>
      <c r="D124" s="190" t="s">
        <v>197</v>
      </c>
      <c r="E124" s="190" t="s">
        <v>544</v>
      </c>
      <c r="F124" s="190" t="s">
        <v>178</v>
      </c>
      <c r="G124" s="183" t="s">
        <v>315</v>
      </c>
      <c r="H124" s="189">
        <f>394699973.6+15195213.78-57949.88+5857230+1486305.1-12620652.14-3164.37</f>
        <v>404556956.09000003</v>
      </c>
      <c r="I124" s="189">
        <f>394702044.01-0.35</f>
        <v>394702043.65999997</v>
      </c>
      <c r="J124" s="189">
        <f>394702044.01-0.35</f>
        <v>394702043.65999997</v>
      </c>
      <c r="K124" s="273"/>
    </row>
    <row r="125" spans="1:11" s="173" customFormat="1" ht="30" x14ac:dyDescent="0.2">
      <c r="A125" s="72" t="s">
        <v>170</v>
      </c>
      <c r="B125" s="180" t="s">
        <v>0</v>
      </c>
      <c r="C125" s="190" t="s">
        <v>248</v>
      </c>
      <c r="D125" s="190" t="s">
        <v>197</v>
      </c>
      <c r="E125" s="190" t="s">
        <v>544</v>
      </c>
      <c r="F125" s="190" t="s">
        <v>181</v>
      </c>
      <c r="G125" s="183" t="s">
        <v>315</v>
      </c>
      <c r="H125" s="189">
        <v>6306725.9900000002</v>
      </c>
      <c r="I125" s="189">
        <v>6306725.9900000002</v>
      </c>
      <c r="J125" s="189">
        <v>6306725.9900000002</v>
      </c>
      <c r="K125" s="273"/>
    </row>
    <row r="126" spans="1:11" s="173" customFormat="1" x14ac:dyDescent="0.2">
      <c r="A126" s="72" t="s">
        <v>171</v>
      </c>
      <c r="B126" s="180" t="s">
        <v>0</v>
      </c>
      <c r="C126" s="190" t="s">
        <v>248</v>
      </c>
      <c r="D126" s="190" t="s">
        <v>197</v>
      </c>
      <c r="E126" s="190" t="s">
        <v>544</v>
      </c>
      <c r="F126" s="183" t="s">
        <v>183</v>
      </c>
      <c r="G126" s="183" t="s">
        <v>315</v>
      </c>
      <c r="H126" s="189">
        <f>2070.06+57949.88+3164.37</f>
        <v>63184.31</v>
      </c>
      <c r="I126" s="189"/>
      <c r="J126" s="189"/>
      <c r="K126" s="273"/>
    </row>
    <row r="127" spans="1:11" s="173" customFormat="1" ht="15.75" x14ac:dyDescent="0.2">
      <c r="A127" s="200" t="s">
        <v>250</v>
      </c>
      <c r="B127" s="179" t="s">
        <v>0</v>
      </c>
      <c r="C127" s="191" t="s">
        <v>248</v>
      </c>
      <c r="D127" s="191" t="s">
        <v>199</v>
      </c>
      <c r="E127" s="191"/>
      <c r="F127" s="192"/>
      <c r="G127" s="192"/>
      <c r="H127" s="193">
        <f>H128+H164</f>
        <v>887676180.56999993</v>
      </c>
      <c r="I127" s="193">
        <f>I128+I164</f>
        <v>853491123.53999996</v>
      </c>
      <c r="J127" s="193">
        <f>J128+J164</f>
        <v>855075982.53999996</v>
      </c>
      <c r="K127" s="277"/>
    </row>
    <row r="128" spans="1:11" s="173" customFormat="1" ht="15.75" x14ac:dyDescent="0.25">
      <c r="A128" s="82" t="s">
        <v>168</v>
      </c>
      <c r="B128" s="179" t="s">
        <v>0</v>
      </c>
      <c r="C128" s="191" t="s">
        <v>248</v>
      </c>
      <c r="D128" s="191" t="s">
        <v>199</v>
      </c>
      <c r="E128" s="191" t="s">
        <v>475</v>
      </c>
      <c r="F128" s="192"/>
      <c r="G128" s="192"/>
      <c r="H128" s="193">
        <f>H133+H137+H129</f>
        <v>854554410.56999993</v>
      </c>
      <c r="I128" s="193">
        <f>I133+I137+I129</f>
        <v>853491123.53999996</v>
      </c>
      <c r="J128" s="193">
        <f>J133+J137+J129</f>
        <v>855075982.53999996</v>
      </c>
      <c r="K128" s="277"/>
    </row>
    <row r="129" spans="1:11" s="173" customFormat="1" ht="31.5" x14ac:dyDescent="0.25">
      <c r="A129" s="297" t="s">
        <v>594</v>
      </c>
      <c r="B129" s="179" t="s">
        <v>0</v>
      </c>
      <c r="C129" s="191" t="s">
        <v>248</v>
      </c>
      <c r="D129" s="191" t="s">
        <v>199</v>
      </c>
      <c r="E129" s="191" t="s">
        <v>602</v>
      </c>
      <c r="F129" s="192"/>
      <c r="G129" s="192"/>
      <c r="H129" s="193">
        <f>H130</f>
        <v>8309397</v>
      </c>
      <c r="I129" s="193">
        <f>I130</f>
        <v>0</v>
      </c>
      <c r="J129" s="193">
        <f>J130</f>
        <v>0</v>
      </c>
      <c r="K129" s="277"/>
    </row>
    <row r="130" spans="1:11" s="173" customFormat="1" ht="45" x14ac:dyDescent="0.2">
      <c r="A130" s="306" t="s">
        <v>604</v>
      </c>
      <c r="B130" s="180" t="s">
        <v>0</v>
      </c>
      <c r="C130" s="190" t="s">
        <v>248</v>
      </c>
      <c r="D130" s="190" t="s">
        <v>199</v>
      </c>
      <c r="E130" s="190" t="s">
        <v>603</v>
      </c>
      <c r="F130" s="183"/>
      <c r="G130" s="183"/>
      <c r="H130" s="24">
        <f>SUM(H131:H132)</f>
        <v>8309397</v>
      </c>
      <c r="I130" s="24">
        <f>SUM(I131:I132)</f>
        <v>0</v>
      </c>
      <c r="J130" s="24">
        <f>SUM(J131:J132)</f>
        <v>0</v>
      </c>
      <c r="K130" s="212"/>
    </row>
    <row r="131" spans="1:11" s="173" customFormat="1" ht="60" x14ac:dyDescent="0.2">
      <c r="A131" s="72" t="s">
        <v>169</v>
      </c>
      <c r="B131" s="180" t="s">
        <v>0</v>
      </c>
      <c r="C131" s="190" t="s">
        <v>248</v>
      </c>
      <c r="D131" s="190" t="s">
        <v>199</v>
      </c>
      <c r="E131" s="190" t="s">
        <v>603</v>
      </c>
      <c r="F131" s="183" t="s">
        <v>178</v>
      </c>
      <c r="G131" s="183" t="s">
        <v>315</v>
      </c>
      <c r="H131" s="24">
        <f>3216542.4-169766.17</f>
        <v>3046776.23</v>
      </c>
      <c r="I131" s="24"/>
      <c r="J131" s="24"/>
      <c r="K131" s="212"/>
    </row>
    <row r="132" spans="1:11" s="173" customFormat="1" ht="30" x14ac:dyDescent="0.2">
      <c r="A132" s="198" t="s">
        <v>173</v>
      </c>
      <c r="B132" s="180" t="s">
        <v>0</v>
      </c>
      <c r="C132" s="190" t="s">
        <v>248</v>
      </c>
      <c r="D132" s="190" t="s">
        <v>199</v>
      </c>
      <c r="E132" s="190" t="s">
        <v>603</v>
      </c>
      <c r="F132" s="183" t="s">
        <v>227</v>
      </c>
      <c r="G132" s="183" t="s">
        <v>315</v>
      </c>
      <c r="H132" s="24">
        <f>5092854.6+169766.17</f>
        <v>5262620.7699999996</v>
      </c>
      <c r="I132" s="24">
        <v>0</v>
      </c>
      <c r="J132" s="24">
        <v>0</v>
      </c>
      <c r="K132" s="212"/>
    </row>
    <row r="133" spans="1:11" s="173" customFormat="1" ht="48.75" customHeight="1" x14ac:dyDescent="0.25">
      <c r="A133" s="297" t="s">
        <v>576</v>
      </c>
      <c r="B133" s="179" t="s">
        <v>0</v>
      </c>
      <c r="C133" s="191" t="s">
        <v>248</v>
      </c>
      <c r="D133" s="191" t="s">
        <v>199</v>
      </c>
      <c r="E133" s="191" t="s">
        <v>577</v>
      </c>
      <c r="F133" s="192"/>
      <c r="G133" s="192"/>
      <c r="H133" s="193">
        <f t="shared" ref="H133:J135" si="11">H134</f>
        <v>7330700</v>
      </c>
      <c r="I133" s="193">
        <f t="shared" si="11"/>
        <v>0</v>
      </c>
      <c r="J133" s="193">
        <f t="shared" si="11"/>
        <v>0</v>
      </c>
      <c r="K133" s="277"/>
    </row>
    <row r="134" spans="1:11" s="173" customFormat="1" x14ac:dyDescent="0.2">
      <c r="A134" s="298" t="s">
        <v>579</v>
      </c>
      <c r="B134" s="180" t="s">
        <v>0</v>
      </c>
      <c r="C134" s="190" t="s">
        <v>248</v>
      </c>
      <c r="D134" s="190" t="s">
        <v>199</v>
      </c>
      <c r="E134" s="190" t="s">
        <v>578</v>
      </c>
      <c r="F134" s="183"/>
      <c r="G134" s="183"/>
      <c r="H134" s="24">
        <f t="shared" si="11"/>
        <v>7330700</v>
      </c>
      <c r="I134" s="24">
        <f t="shared" si="11"/>
        <v>0</v>
      </c>
      <c r="J134" s="24">
        <f t="shared" si="11"/>
        <v>0</v>
      </c>
      <c r="K134" s="212"/>
    </row>
    <row r="135" spans="1:11" s="173" customFormat="1" ht="30" x14ac:dyDescent="0.2">
      <c r="A135" s="298" t="s">
        <v>580</v>
      </c>
      <c r="B135" s="180" t="s">
        <v>0</v>
      </c>
      <c r="C135" s="190" t="s">
        <v>248</v>
      </c>
      <c r="D135" s="190" t="s">
        <v>199</v>
      </c>
      <c r="E135" s="190" t="s">
        <v>581</v>
      </c>
      <c r="F135" s="183"/>
      <c r="G135" s="183"/>
      <c r="H135" s="24">
        <f t="shared" si="11"/>
        <v>7330700</v>
      </c>
      <c r="I135" s="24">
        <f t="shared" si="11"/>
        <v>0</v>
      </c>
      <c r="J135" s="24">
        <f t="shared" si="11"/>
        <v>0</v>
      </c>
      <c r="K135" s="212"/>
    </row>
    <row r="136" spans="1:11" s="173" customFormat="1" ht="30" x14ac:dyDescent="0.2">
      <c r="A136" s="198" t="s">
        <v>173</v>
      </c>
      <c r="B136" s="180" t="s">
        <v>0</v>
      </c>
      <c r="C136" s="190" t="s">
        <v>248</v>
      </c>
      <c r="D136" s="190" t="s">
        <v>199</v>
      </c>
      <c r="E136" s="190" t="s">
        <v>581</v>
      </c>
      <c r="F136" s="183" t="s">
        <v>227</v>
      </c>
      <c r="G136" s="183" t="s">
        <v>315</v>
      </c>
      <c r="H136" s="24">
        <v>7330700</v>
      </c>
      <c r="I136" s="24">
        <v>0</v>
      </c>
      <c r="J136" s="24">
        <v>0</v>
      </c>
      <c r="K136" s="212"/>
    </row>
    <row r="137" spans="1:11" s="173" customFormat="1" ht="15.75" x14ac:dyDescent="0.2">
      <c r="A137" s="216" t="s">
        <v>474</v>
      </c>
      <c r="B137" s="179" t="s">
        <v>0</v>
      </c>
      <c r="C137" s="191" t="s">
        <v>248</v>
      </c>
      <c r="D137" s="191" t="s">
        <v>199</v>
      </c>
      <c r="E137" s="191" t="s">
        <v>476</v>
      </c>
      <c r="F137" s="192"/>
      <c r="G137" s="192"/>
      <c r="H137" s="193">
        <f>H145+H149+H142+H138</f>
        <v>838914313.56999993</v>
      </c>
      <c r="I137" s="193">
        <f>I145+I149+I142+I138</f>
        <v>853491123.53999996</v>
      </c>
      <c r="J137" s="193">
        <f>J145+J149+J142+J138</f>
        <v>855075982.53999996</v>
      </c>
      <c r="K137" s="277"/>
    </row>
    <row r="138" spans="1:11" s="173" customFormat="1" ht="30" x14ac:dyDescent="0.2">
      <c r="A138" s="199" t="s">
        <v>629</v>
      </c>
      <c r="B138" s="180" t="s">
        <v>0</v>
      </c>
      <c r="C138" s="190" t="s">
        <v>248</v>
      </c>
      <c r="D138" s="190" t="s">
        <v>199</v>
      </c>
      <c r="E138" s="190" t="s">
        <v>628</v>
      </c>
      <c r="F138" s="183"/>
      <c r="G138" s="183"/>
      <c r="H138" s="24">
        <f>SUM(H139:H141)</f>
        <v>4913686.66</v>
      </c>
      <c r="I138" s="24">
        <f>SUM(I139:I141)</f>
        <v>0</v>
      </c>
      <c r="J138" s="24">
        <f>SUM(J139:J141)</f>
        <v>0</v>
      </c>
      <c r="K138" s="212"/>
    </row>
    <row r="139" spans="1:11" s="173" customFormat="1" ht="60" x14ac:dyDescent="0.2">
      <c r="A139" s="72" t="s">
        <v>169</v>
      </c>
      <c r="B139" s="180" t="s">
        <v>0</v>
      </c>
      <c r="C139" s="190" t="s">
        <v>248</v>
      </c>
      <c r="D139" s="190" t="s">
        <v>199</v>
      </c>
      <c r="E139" s="190" t="s">
        <v>628</v>
      </c>
      <c r="F139" s="183" t="s">
        <v>178</v>
      </c>
      <c r="G139" s="183" t="s">
        <v>315</v>
      </c>
      <c r="H139" s="24">
        <f>945019.25+238950.16+833790</f>
        <v>2017759.41</v>
      </c>
      <c r="I139" s="24">
        <v>0</v>
      </c>
      <c r="J139" s="24">
        <v>0</v>
      </c>
      <c r="K139" s="212"/>
    </row>
    <row r="140" spans="1:11" s="173" customFormat="1" ht="30" x14ac:dyDescent="0.2">
      <c r="A140" s="72" t="s">
        <v>170</v>
      </c>
      <c r="B140" s="180" t="s">
        <v>0</v>
      </c>
      <c r="C140" s="190" t="s">
        <v>248</v>
      </c>
      <c r="D140" s="190" t="s">
        <v>199</v>
      </c>
      <c r="E140" s="190" t="s">
        <v>628</v>
      </c>
      <c r="F140" s="183" t="s">
        <v>181</v>
      </c>
      <c r="G140" s="183" t="s">
        <v>315</v>
      </c>
      <c r="H140" s="24">
        <v>29920</v>
      </c>
      <c r="I140" s="24">
        <v>0</v>
      </c>
      <c r="J140" s="24">
        <v>0</v>
      </c>
      <c r="K140" s="212"/>
    </row>
    <row r="141" spans="1:11" s="173" customFormat="1" ht="30" x14ac:dyDescent="0.2">
      <c r="A141" s="198" t="s">
        <v>173</v>
      </c>
      <c r="B141" s="180" t="s">
        <v>0</v>
      </c>
      <c r="C141" s="190" t="s">
        <v>248</v>
      </c>
      <c r="D141" s="190" t="s">
        <v>199</v>
      </c>
      <c r="E141" s="190" t="s">
        <v>628</v>
      </c>
      <c r="F141" s="183" t="s">
        <v>227</v>
      </c>
      <c r="G141" s="183" t="s">
        <v>315</v>
      </c>
      <c r="H141" s="24">
        <f>423350+584480+937520.75+457987.84+462668.66</f>
        <v>2866007.25</v>
      </c>
      <c r="I141" s="24">
        <v>0</v>
      </c>
      <c r="J141" s="24">
        <v>0</v>
      </c>
      <c r="K141" s="212"/>
    </row>
    <row r="142" spans="1:11" s="173" customFormat="1" ht="75" x14ac:dyDescent="0.2">
      <c r="A142" s="199" t="s">
        <v>527</v>
      </c>
      <c r="B142" s="180" t="s">
        <v>0</v>
      </c>
      <c r="C142" s="190" t="s">
        <v>248</v>
      </c>
      <c r="D142" s="190" t="s">
        <v>199</v>
      </c>
      <c r="E142" s="190" t="s">
        <v>627</v>
      </c>
      <c r="F142" s="183"/>
      <c r="G142" s="183"/>
      <c r="H142" s="24">
        <f>SUM(H143:H144)</f>
        <v>2349720.2599999998</v>
      </c>
      <c r="I142" s="24">
        <f>SUM(I143:I144)</f>
        <v>2133152.54</v>
      </c>
      <c r="J142" s="24">
        <f>SUM(J143:J144)</f>
        <v>2133152.54</v>
      </c>
      <c r="K142" s="212"/>
    </row>
    <row r="143" spans="1:11" s="173" customFormat="1" ht="60" x14ac:dyDescent="0.2">
      <c r="A143" s="72" t="s">
        <v>169</v>
      </c>
      <c r="B143" s="180" t="s">
        <v>0</v>
      </c>
      <c r="C143" s="190" t="s">
        <v>248</v>
      </c>
      <c r="D143" s="190" t="s">
        <v>199</v>
      </c>
      <c r="E143" s="190" t="s">
        <v>627</v>
      </c>
      <c r="F143" s="183" t="s">
        <v>178</v>
      </c>
      <c r="G143" s="183" t="s">
        <v>315</v>
      </c>
      <c r="H143" s="24">
        <f>1166400+72000+88920.26</f>
        <v>1327320.26</v>
      </c>
      <c r="I143" s="24">
        <v>1136745.76</v>
      </c>
      <c r="J143" s="24">
        <v>1136745.76</v>
      </c>
      <c r="K143" s="277"/>
    </row>
    <row r="144" spans="1:11" s="173" customFormat="1" ht="30" x14ac:dyDescent="0.2">
      <c r="A144" s="201" t="s">
        <v>173</v>
      </c>
      <c r="B144" s="180" t="s">
        <v>0</v>
      </c>
      <c r="C144" s="190" t="s">
        <v>248</v>
      </c>
      <c r="D144" s="190" t="s">
        <v>199</v>
      </c>
      <c r="E144" s="190" t="s">
        <v>627</v>
      </c>
      <c r="F144" s="183" t="s">
        <v>227</v>
      </c>
      <c r="G144" s="183" t="s">
        <v>315</v>
      </c>
      <c r="H144" s="24">
        <v>1022400</v>
      </c>
      <c r="I144" s="24">
        <v>996406.78</v>
      </c>
      <c r="J144" s="25">
        <v>996406.78</v>
      </c>
      <c r="K144" s="277"/>
    </row>
    <row r="145" spans="1:11" s="185" customFormat="1" ht="45" x14ac:dyDescent="0.25">
      <c r="A145" s="198" t="s">
        <v>570</v>
      </c>
      <c r="B145" s="180" t="s">
        <v>0</v>
      </c>
      <c r="C145" s="190" t="s">
        <v>248</v>
      </c>
      <c r="D145" s="190" t="s">
        <v>199</v>
      </c>
      <c r="E145" s="190" t="s">
        <v>569</v>
      </c>
      <c r="F145" s="183"/>
      <c r="G145" s="183"/>
      <c r="H145" s="24">
        <f>H146</f>
        <v>26409740</v>
      </c>
      <c r="I145" s="24">
        <f>I146</f>
        <v>25426631</v>
      </c>
      <c r="J145" s="24">
        <f>J146</f>
        <v>25789680</v>
      </c>
      <c r="K145" s="212"/>
    </row>
    <row r="146" spans="1:11" s="185" customFormat="1" ht="60" x14ac:dyDescent="0.25">
      <c r="A146" s="198" t="s">
        <v>572</v>
      </c>
      <c r="B146" s="180" t="s">
        <v>0</v>
      </c>
      <c r="C146" s="190" t="s">
        <v>248</v>
      </c>
      <c r="D146" s="190" t="s">
        <v>199</v>
      </c>
      <c r="E146" s="190" t="s">
        <v>571</v>
      </c>
      <c r="F146" s="183"/>
      <c r="G146" s="183"/>
      <c r="H146" s="24">
        <f>H147+H148</f>
        <v>26409740</v>
      </c>
      <c r="I146" s="24">
        <f>I147+I148</f>
        <v>25426631</v>
      </c>
      <c r="J146" s="24">
        <f>J147+J148</f>
        <v>25789680</v>
      </c>
      <c r="K146" s="212"/>
    </row>
    <row r="147" spans="1:11" s="185" customFormat="1" ht="30.75" x14ac:dyDescent="0.25">
      <c r="A147" s="72" t="s">
        <v>170</v>
      </c>
      <c r="B147" s="180" t="s">
        <v>0</v>
      </c>
      <c r="C147" s="190" t="s">
        <v>248</v>
      </c>
      <c r="D147" s="190" t="s">
        <v>199</v>
      </c>
      <c r="E147" s="190" t="s">
        <v>571</v>
      </c>
      <c r="F147" s="183" t="s">
        <v>181</v>
      </c>
      <c r="G147" s="183" t="s">
        <v>315</v>
      </c>
      <c r="H147" s="24">
        <v>2574234.5699999998</v>
      </c>
      <c r="I147" s="24">
        <v>2478408.08</v>
      </c>
      <c r="J147" s="24">
        <v>2513795.52</v>
      </c>
      <c r="K147" s="212"/>
    </row>
    <row r="148" spans="1:11" s="185" customFormat="1" ht="30.75" x14ac:dyDescent="0.25">
      <c r="A148" s="201" t="s">
        <v>173</v>
      </c>
      <c r="B148" s="180" t="s">
        <v>0</v>
      </c>
      <c r="C148" s="190" t="s">
        <v>248</v>
      </c>
      <c r="D148" s="190" t="s">
        <v>199</v>
      </c>
      <c r="E148" s="190" t="s">
        <v>571</v>
      </c>
      <c r="F148" s="183" t="s">
        <v>227</v>
      </c>
      <c r="G148" s="183" t="s">
        <v>315</v>
      </c>
      <c r="H148" s="24">
        <v>23835505.43</v>
      </c>
      <c r="I148" s="24">
        <v>22948222.920000002</v>
      </c>
      <c r="J148" s="24">
        <v>23275884.48</v>
      </c>
      <c r="K148" s="212"/>
    </row>
    <row r="149" spans="1:11" s="185" customFormat="1" ht="30.75" x14ac:dyDescent="0.25">
      <c r="A149" s="72" t="s">
        <v>547</v>
      </c>
      <c r="B149" s="180" t="s">
        <v>0</v>
      </c>
      <c r="C149" s="190" t="s">
        <v>248</v>
      </c>
      <c r="D149" s="190" t="s">
        <v>199</v>
      </c>
      <c r="E149" s="190" t="s">
        <v>546</v>
      </c>
      <c r="F149" s="183"/>
      <c r="G149" s="183"/>
      <c r="H149" s="24">
        <f>H150+H153+H157+H161</f>
        <v>805241166.64999998</v>
      </c>
      <c r="I149" s="24">
        <f>I150+I153+I157+I161</f>
        <v>825931340</v>
      </c>
      <c r="J149" s="24">
        <f>J150+J153+J157+J161</f>
        <v>827153150</v>
      </c>
      <c r="K149" s="212"/>
    </row>
    <row r="150" spans="1:11" s="185" customFormat="1" ht="45.75" x14ac:dyDescent="0.25">
      <c r="A150" s="72" t="s">
        <v>556</v>
      </c>
      <c r="B150" s="180" t="s">
        <v>0</v>
      </c>
      <c r="C150" s="190" t="s">
        <v>248</v>
      </c>
      <c r="D150" s="190" t="s">
        <v>199</v>
      </c>
      <c r="E150" s="190" t="s">
        <v>565</v>
      </c>
      <c r="F150" s="183"/>
      <c r="G150" s="183"/>
      <c r="H150" s="24">
        <f>H151+H152</f>
        <v>48070700</v>
      </c>
      <c r="I150" s="24">
        <f>I151+I152</f>
        <v>41262982</v>
      </c>
      <c r="J150" s="24">
        <f>J151+J152</f>
        <v>42484792</v>
      </c>
      <c r="K150" s="212"/>
    </row>
    <row r="151" spans="1:11" s="185" customFormat="1" ht="60.75" x14ac:dyDescent="0.25">
      <c r="A151" s="72" t="s">
        <v>169</v>
      </c>
      <c r="B151" s="180" t="s">
        <v>0</v>
      </c>
      <c r="C151" s="190" t="s">
        <v>248</v>
      </c>
      <c r="D151" s="190" t="s">
        <v>199</v>
      </c>
      <c r="E151" s="190" t="s">
        <v>565</v>
      </c>
      <c r="F151" s="183" t="s">
        <v>178</v>
      </c>
      <c r="G151" s="183" t="s">
        <v>315</v>
      </c>
      <c r="H151" s="24">
        <v>13906165.359999999</v>
      </c>
      <c r="I151" s="24">
        <v>11936791.220000001</v>
      </c>
      <c r="J151" s="24">
        <v>12290243.4</v>
      </c>
      <c r="K151" s="212"/>
    </row>
    <row r="152" spans="1:11" s="185" customFormat="1" ht="30" x14ac:dyDescent="0.25">
      <c r="A152" s="198" t="s">
        <v>173</v>
      </c>
      <c r="B152" s="180" t="s">
        <v>0</v>
      </c>
      <c r="C152" s="190" t="s">
        <v>248</v>
      </c>
      <c r="D152" s="190" t="s">
        <v>199</v>
      </c>
      <c r="E152" s="190" t="s">
        <v>565</v>
      </c>
      <c r="F152" s="183" t="s">
        <v>227</v>
      </c>
      <c r="G152" s="183" t="s">
        <v>315</v>
      </c>
      <c r="H152" s="24">
        <v>34164534.640000001</v>
      </c>
      <c r="I152" s="24">
        <v>29326190.780000001</v>
      </c>
      <c r="J152" s="24">
        <v>30194548.600000001</v>
      </c>
      <c r="K152" s="212"/>
    </row>
    <row r="153" spans="1:11" s="173" customFormat="1" ht="90" x14ac:dyDescent="0.2">
      <c r="A153" s="162" t="s">
        <v>550</v>
      </c>
      <c r="B153" s="180" t="s">
        <v>0</v>
      </c>
      <c r="C153" s="190" t="s">
        <v>248</v>
      </c>
      <c r="D153" s="190" t="s">
        <v>199</v>
      </c>
      <c r="E153" s="190" t="s">
        <v>549</v>
      </c>
      <c r="F153" s="183"/>
      <c r="G153" s="183"/>
      <c r="H153" s="24">
        <f>H154+H155+H156</f>
        <v>680910134.62</v>
      </c>
      <c r="I153" s="24">
        <f>I154+I155+I156</f>
        <v>715739420</v>
      </c>
      <c r="J153" s="24">
        <f>J154+J155+J156</f>
        <v>715739420</v>
      </c>
      <c r="K153" s="212"/>
    </row>
    <row r="154" spans="1:11" s="173" customFormat="1" ht="60" x14ac:dyDescent="0.2">
      <c r="A154" s="72" t="s">
        <v>169</v>
      </c>
      <c r="B154" s="180" t="s">
        <v>0</v>
      </c>
      <c r="C154" s="190" t="s">
        <v>248</v>
      </c>
      <c r="D154" s="190" t="s">
        <v>199</v>
      </c>
      <c r="E154" s="190" t="s">
        <v>549</v>
      </c>
      <c r="F154" s="183" t="s">
        <v>178</v>
      </c>
      <c r="G154" s="183" t="s">
        <v>315</v>
      </c>
      <c r="H154" s="24">
        <f>212562174.1+4324763.34+2595446.62+830439.91-2213400</f>
        <v>218099423.97</v>
      </c>
      <c r="I154" s="24">
        <v>229567148.05000001</v>
      </c>
      <c r="J154" s="24">
        <v>229567148.05000001</v>
      </c>
      <c r="K154" s="213"/>
    </row>
    <row r="155" spans="1:11" s="185" customFormat="1" ht="30.75" x14ac:dyDescent="0.25">
      <c r="A155" s="72" t="s">
        <v>170</v>
      </c>
      <c r="B155" s="180" t="s">
        <v>0</v>
      </c>
      <c r="C155" s="190" t="s">
        <v>248</v>
      </c>
      <c r="D155" s="190" t="s">
        <v>199</v>
      </c>
      <c r="E155" s="190" t="s">
        <v>549</v>
      </c>
      <c r="F155" s="183" t="s">
        <v>181</v>
      </c>
      <c r="G155" s="183" t="s">
        <v>315</v>
      </c>
      <c r="H155" s="24">
        <v>1844105</v>
      </c>
      <c r="I155" s="24">
        <v>1991631.03</v>
      </c>
      <c r="J155" s="24">
        <v>1991631.03</v>
      </c>
      <c r="K155" s="213"/>
    </row>
    <row r="156" spans="1:11" s="173" customFormat="1" ht="30" x14ac:dyDescent="0.2">
      <c r="A156" s="198" t="s">
        <v>173</v>
      </c>
      <c r="B156" s="180" t="s">
        <v>0</v>
      </c>
      <c r="C156" s="190" t="s">
        <v>248</v>
      </c>
      <c r="D156" s="190" t="s">
        <v>199</v>
      </c>
      <c r="E156" s="190" t="s">
        <v>549</v>
      </c>
      <c r="F156" s="183" t="s">
        <v>227</v>
      </c>
      <c r="G156" s="183" t="s">
        <v>315</v>
      </c>
      <c r="H156" s="24">
        <f>446148743.07+7173540+4208293.38+1088956.7+133672.5+2213400</f>
        <v>460966605.64999998</v>
      </c>
      <c r="I156" s="24">
        <v>484180640.92000002</v>
      </c>
      <c r="J156" s="24">
        <v>484180640.92000002</v>
      </c>
      <c r="K156" s="213"/>
    </row>
    <row r="157" spans="1:11" s="173" customFormat="1" ht="105" x14ac:dyDescent="0.2">
      <c r="A157" s="157" t="s">
        <v>322</v>
      </c>
      <c r="B157" s="180" t="s">
        <v>0</v>
      </c>
      <c r="C157" s="190" t="s">
        <v>248</v>
      </c>
      <c r="D157" s="190" t="s">
        <v>199</v>
      </c>
      <c r="E157" s="190" t="s">
        <v>551</v>
      </c>
      <c r="F157" s="183"/>
      <c r="G157" s="183"/>
      <c r="H157" s="24">
        <f>SUM(H158:H160)</f>
        <v>69745124.030000001</v>
      </c>
      <c r="I157" s="24">
        <f>SUM(I158:I160)</f>
        <v>62413730</v>
      </c>
      <c r="J157" s="24">
        <f>SUM(J158:J160)</f>
        <v>62413730</v>
      </c>
      <c r="K157" s="212"/>
    </row>
    <row r="158" spans="1:11" s="185" customFormat="1" ht="60.75" x14ac:dyDescent="0.25">
      <c r="A158" s="72" t="s">
        <v>169</v>
      </c>
      <c r="B158" s="180" t="s">
        <v>0</v>
      </c>
      <c r="C158" s="190" t="s">
        <v>248</v>
      </c>
      <c r="D158" s="190" t="s">
        <v>199</v>
      </c>
      <c r="E158" s="190" t="s">
        <v>551</v>
      </c>
      <c r="F158" s="183" t="s">
        <v>178</v>
      </c>
      <c r="G158" s="183" t="s">
        <v>315</v>
      </c>
      <c r="H158" s="24">
        <f>58096103.91+1159618.2+1088356.74+6863</f>
        <v>60350941.850000001</v>
      </c>
      <c r="I158" s="24">
        <v>53134883.909999996</v>
      </c>
      <c r="J158" s="24">
        <v>53134883.909999996</v>
      </c>
      <c r="K158" s="212"/>
    </row>
    <row r="159" spans="1:11" s="173" customFormat="1" ht="30" x14ac:dyDescent="0.2">
      <c r="A159" s="72" t="s">
        <v>170</v>
      </c>
      <c r="B159" s="180" t="s">
        <v>0</v>
      </c>
      <c r="C159" s="190" t="s">
        <v>248</v>
      </c>
      <c r="D159" s="190" t="s">
        <v>199</v>
      </c>
      <c r="E159" s="190" t="s">
        <v>551</v>
      </c>
      <c r="F159" s="183" t="s">
        <v>181</v>
      </c>
      <c r="G159" s="183" t="s">
        <v>315</v>
      </c>
      <c r="H159" s="24">
        <f>9401045.18-3500-6863</f>
        <v>9390682.1799999997</v>
      </c>
      <c r="I159" s="24">
        <v>9278846.0899999999</v>
      </c>
      <c r="J159" s="24">
        <v>9278846.0899999999</v>
      </c>
      <c r="K159" s="212"/>
    </row>
    <row r="160" spans="1:11" s="173" customFormat="1" x14ac:dyDescent="0.2">
      <c r="A160" s="72" t="s">
        <v>172</v>
      </c>
      <c r="B160" s="180" t="s">
        <v>0</v>
      </c>
      <c r="C160" s="190" t="s">
        <v>248</v>
      </c>
      <c r="D160" s="190" t="s">
        <v>199</v>
      </c>
      <c r="E160" s="190" t="s">
        <v>551</v>
      </c>
      <c r="F160" s="183" t="s">
        <v>179</v>
      </c>
      <c r="G160" s="183" t="s">
        <v>315</v>
      </c>
      <c r="H160" s="24">
        <v>3500</v>
      </c>
      <c r="I160" s="24"/>
      <c r="J160" s="25"/>
      <c r="K160" s="213"/>
    </row>
    <row r="161" spans="1:11" s="173" customFormat="1" ht="45" x14ac:dyDescent="0.2">
      <c r="A161" s="72" t="s">
        <v>556</v>
      </c>
      <c r="B161" s="180" t="s">
        <v>0</v>
      </c>
      <c r="C161" s="190" t="s">
        <v>248</v>
      </c>
      <c r="D161" s="190" t="s">
        <v>199</v>
      </c>
      <c r="E161" s="190" t="s">
        <v>555</v>
      </c>
      <c r="F161" s="183"/>
      <c r="G161" s="183"/>
      <c r="H161" s="24">
        <f>SUM(H162:H163)</f>
        <v>6515208</v>
      </c>
      <c r="I161" s="24">
        <f>SUM(I162:I163)</f>
        <v>6515208</v>
      </c>
      <c r="J161" s="24">
        <f>SUM(J162:J163)</f>
        <v>6515208</v>
      </c>
      <c r="K161" s="212"/>
    </row>
    <row r="162" spans="1:11" s="173" customFormat="1" ht="60" x14ac:dyDescent="0.2">
      <c r="A162" s="72" t="s">
        <v>169</v>
      </c>
      <c r="B162" s="180" t="s">
        <v>0</v>
      </c>
      <c r="C162" s="190" t="s">
        <v>248</v>
      </c>
      <c r="D162" s="190" t="s">
        <v>199</v>
      </c>
      <c r="E162" s="190" t="s">
        <v>555</v>
      </c>
      <c r="F162" s="183" t="s">
        <v>178</v>
      </c>
      <c r="G162" s="183" t="s">
        <v>315</v>
      </c>
      <c r="H162" s="24">
        <v>1884756.6</v>
      </c>
      <c r="I162" s="24">
        <v>1884756.6</v>
      </c>
      <c r="J162" s="24">
        <v>1884756.6</v>
      </c>
      <c r="K162" s="213"/>
    </row>
    <row r="163" spans="1:11" s="185" customFormat="1" ht="30.75" x14ac:dyDescent="0.25">
      <c r="A163" s="201" t="s">
        <v>173</v>
      </c>
      <c r="B163" s="180" t="s">
        <v>0</v>
      </c>
      <c r="C163" s="190" t="s">
        <v>248</v>
      </c>
      <c r="D163" s="190" t="s">
        <v>199</v>
      </c>
      <c r="E163" s="190" t="s">
        <v>555</v>
      </c>
      <c r="F163" s="183" t="s">
        <v>227</v>
      </c>
      <c r="G163" s="183" t="s">
        <v>315</v>
      </c>
      <c r="H163" s="24">
        <v>4630451.4000000004</v>
      </c>
      <c r="I163" s="24">
        <v>4630451.4000000004</v>
      </c>
      <c r="J163" s="24">
        <v>4630451.4000000004</v>
      </c>
      <c r="K163" s="213"/>
    </row>
    <row r="164" spans="1:11" s="185" customFormat="1" ht="15.75" x14ac:dyDescent="0.25">
      <c r="A164" s="297" t="s">
        <v>200</v>
      </c>
      <c r="B164" s="217" t="s">
        <v>0</v>
      </c>
      <c r="C164" s="218" t="s">
        <v>248</v>
      </c>
      <c r="D164" s="218" t="s">
        <v>199</v>
      </c>
      <c r="E164" s="327" t="s">
        <v>201</v>
      </c>
      <c r="F164" s="329"/>
      <c r="G164" s="329"/>
      <c r="H164" s="330">
        <f t="shared" ref="H164:J166" si="12">H165</f>
        <v>33121770</v>
      </c>
      <c r="I164" s="330">
        <f t="shared" si="12"/>
        <v>0</v>
      </c>
      <c r="J164" s="330">
        <f t="shared" si="12"/>
        <v>0</v>
      </c>
      <c r="K164" s="328"/>
    </row>
    <row r="165" spans="1:11" s="185" customFormat="1" ht="15.75" x14ac:dyDescent="0.25">
      <c r="A165" s="72" t="s">
        <v>220</v>
      </c>
      <c r="B165" s="180" t="s">
        <v>0</v>
      </c>
      <c r="C165" s="190" t="s">
        <v>248</v>
      </c>
      <c r="D165" s="190" t="s">
        <v>199</v>
      </c>
      <c r="E165" s="190" t="s">
        <v>221</v>
      </c>
      <c r="F165" s="190"/>
      <c r="G165" s="190"/>
      <c r="H165" s="24">
        <f t="shared" si="12"/>
        <v>33121770</v>
      </c>
      <c r="I165" s="24">
        <f t="shared" si="12"/>
        <v>0</v>
      </c>
      <c r="J165" s="24">
        <f t="shared" si="12"/>
        <v>0</v>
      </c>
      <c r="K165" s="213"/>
    </row>
    <row r="166" spans="1:11" s="185" customFormat="1" ht="30.75" x14ac:dyDescent="0.25">
      <c r="A166" s="72" t="s">
        <v>228</v>
      </c>
      <c r="B166" s="180" t="s">
        <v>0</v>
      </c>
      <c r="C166" s="190" t="s">
        <v>248</v>
      </c>
      <c r="D166" s="190" t="s">
        <v>199</v>
      </c>
      <c r="E166" s="190" t="s">
        <v>229</v>
      </c>
      <c r="F166" s="190"/>
      <c r="G166" s="190"/>
      <c r="H166" s="24">
        <f t="shared" si="12"/>
        <v>33121770</v>
      </c>
      <c r="I166" s="24">
        <f t="shared" si="12"/>
        <v>0</v>
      </c>
      <c r="J166" s="24">
        <f t="shared" si="12"/>
        <v>0</v>
      </c>
      <c r="K166" s="213"/>
    </row>
    <row r="167" spans="1:11" s="185" customFormat="1" ht="30.75" x14ac:dyDescent="0.25">
      <c r="A167" s="201" t="s">
        <v>173</v>
      </c>
      <c r="B167" s="180" t="s">
        <v>0</v>
      </c>
      <c r="C167" s="190" t="s">
        <v>248</v>
      </c>
      <c r="D167" s="190" t="s">
        <v>199</v>
      </c>
      <c r="E167" s="190" t="s">
        <v>229</v>
      </c>
      <c r="F167" s="190" t="s">
        <v>227</v>
      </c>
      <c r="G167" s="190" t="s">
        <v>315</v>
      </c>
      <c r="H167" s="24">
        <v>33121770</v>
      </c>
      <c r="I167" s="24">
        <v>0</v>
      </c>
      <c r="J167" s="24">
        <v>0</v>
      </c>
      <c r="K167" s="213"/>
    </row>
    <row r="168" spans="1:11" s="173" customFormat="1" ht="15.75" x14ac:dyDescent="0.25">
      <c r="A168" s="79" t="s">
        <v>251</v>
      </c>
      <c r="B168" s="179" t="s">
        <v>0</v>
      </c>
      <c r="C168" s="191" t="s">
        <v>248</v>
      </c>
      <c r="D168" s="191" t="s">
        <v>207</v>
      </c>
      <c r="E168" s="333"/>
      <c r="F168" s="191"/>
      <c r="G168" s="191"/>
      <c r="H168" s="193">
        <f>H175+H169</f>
        <v>6678749.5200000005</v>
      </c>
      <c r="I168" s="193">
        <f>I175+I169</f>
        <v>350847.46</v>
      </c>
      <c r="J168" s="193">
        <f>J175+J169</f>
        <v>350847.46</v>
      </c>
      <c r="K168" s="277"/>
    </row>
    <row r="169" spans="1:11" s="173" customFormat="1" ht="15.75" x14ac:dyDescent="0.25">
      <c r="A169" s="331" t="s">
        <v>174</v>
      </c>
      <c r="B169" s="332" t="s">
        <v>0</v>
      </c>
      <c r="C169" s="302" t="s">
        <v>248</v>
      </c>
      <c r="D169" s="302" t="s">
        <v>207</v>
      </c>
      <c r="E169" s="303" t="s">
        <v>505</v>
      </c>
      <c r="F169" s="304"/>
      <c r="G169" s="304"/>
      <c r="H169" s="305">
        <f>H170</f>
        <v>3014412.0700000003</v>
      </c>
      <c r="I169" s="305">
        <f>I170</f>
        <v>350847.46</v>
      </c>
      <c r="J169" s="305">
        <f>J170</f>
        <v>350847.46</v>
      </c>
      <c r="K169" s="277"/>
    </row>
    <row r="170" spans="1:11" s="290" customFormat="1" ht="18" x14ac:dyDescent="0.25">
      <c r="A170" s="292" t="s">
        <v>474</v>
      </c>
      <c r="B170" s="179" t="s">
        <v>0</v>
      </c>
      <c r="C170" s="291" t="s">
        <v>248</v>
      </c>
      <c r="D170" s="291" t="s">
        <v>207</v>
      </c>
      <c r="E170" s="375" t="s">
        <v>506</v>
      </c>
      <c r="F170" s="288"/>
      <c r="G170" s="288"/>
      <c r="H170" s="193">
        <f>H173+H171</f>
        <v>3014412.0700000003</v>
      </c>
      <c r="I170" s="193">
        <f>I173+I171</f>
        <v>350847.46</v>
      </c>
      <c r="J170" s="193">
        <f>J173+J171</f>
        <v>350847.46</v>
      </c>
      <c r="K170" s="289"/>
    </row>
    <row r="171" spans="1:11" s="56" customFormat="1" ht="45" x14ac:dyDescent="0.25">
      <c r="A171" s="318" t="s">
        <v>631</v>
      </c>
      <c r="B171" s="180" t="s">
        <v>0</v>
      </c>
      <c r="C171" s="190" t="s">
        <v>248</v>
      </c>
      <c r="D171" s="190" t="s">
        <v>207</v>
      </c>
      <c r="E171" s="376" t="s">
        <v>630</v>
      </c>
      <c r="F171" s="319"/>
      <c r="G171" s="319"/>
      <c r="H171" s="24">
        <f>H172</f>
        <v>2665532.33</v>
      </c>
      <c r="I171" s="24">
        <f>I172</f>
        <v>0</v>
      </c>
      <c r="J171" s="24">
        <f>J172</f>
        <v>0</v>
      </c>
      <c r="K171" s="320"/>
    </row>
    <row r="172" spans="1:11" s="56" customFormat="1" ht="60.75" x14ac:dyDescent="0.25">
      <c r="A172" s="72" t="s">
        <v>169</v>
      </c>
      <c r="B172" s="180" t="s">
        <v>0</v>
      </c>
      <c r="C172" s="190" t="s">
        <v>248</v>
      </c>
      <c r="D172" s="190" t="s">
        <v>207</v>
      </c>
      <c r="E172" s="376" t="s">
        <v>630</v>
      </c>
      <c r="F172" s="183" t="s">
        <v>178</v>
      </c>
      <c r="G172" s="183" t="s">
        <v>315</v>
      </c>
      <c r="H172" s="24">
        <f>1523540+992010+149982.33</f>
        <v>2665532.33</v>
      </c>
      <c r="I172" s="24">
        <v>0</v>
      </c>
      <c r="J172" s="24">
        <v>0</v>
      </c>
      <c r="K172" s="320"/>
    </row>
    <row r="173" spans="1:11" s="173" customFormat="1" ht="75" x14ac:dyDescent="0.2">
      <c r="A173" s="198" t="s">
        <v>527</v>
      </c>
      <c r="B173" s="180" t="s">
        <v>0</v>
      </c>
      <c r="C173" s="190" t="s">
        <v>248</v>
      </c>
      <c r="D173" s="190" t="s">
        <v>207</v>
      </c>
      <c r="E173" s="190" t="s">
        <v>568</v>
      </c>
      <c r="F173" s="183"/>
      <c r="G173" s="183"/>
      <c r="H173" s="24">
        <f>H174</f>
        <v>348879.74</v>
      </c>
      <c r="I173" s="24">
        <f>I174</f>
        <v>350847.46</v>
      </c>
      <c r="J173" s="24">
        <f>J174</f>
        <v>350847.46</v>
      </c>
      <c r="K173" s="277"/>
    </row>
    <row r="174" spans="1:11" s="173" customFormat="1" ht="60" x14ac:dyDescent="0.2">
      <c r="A174" s="72" t="s">
        <v>169</v>
      </c>
      <c r="B174" s="180" t="s">
        <v>0</v>
      </c>
      <c r="C174" s="190" t="s">
        <v>248</v>
      </c>
      <c r="D174" s="190" t="s">
        <v>207</v>
      </c>
      <c r="E174" s="190" t="s">
        <v>568</v>
      </c>
      <c r="F174" s="183" t="s">
        <v>178</v>
      </c>
      <c r="G174" s="183" t="s">
        <v>315</v>
      </c>
      <c r="H174" s="24">
        <f>360000-11120.26</f>
        <v>348879.74</v>
      </c>
      <c r="I174" s="24">
        <v>350847.46</v>
      </c>
      <c r="J174" s="24">
        <v>350847.46</v>
      </c>
      <c r="K174" s="277"/>
    </row>
    <row r="175" spans="1:11" s="173" customFormat="1" ht="15.75" x14ac:dyDescent="0.25">
      <c r="A175" s="79" t="s">
        <v>168</v>
      </c>
      <c r="B175" s="179" t="s">
        <v>0</v>
      </c>
      <c r="C175" s="191" t="s">
        <v>248</v>
      </c>
      <c r="D175" s="191" t="s">
        <v>207</v>
      </c>
      <c r="E175" s="374" t="s">
        <v>475</v>
      </c>
      <c r="F175" s="192"/>
      <c r="G175" s="192"/>
      <c r="H175" s="193">
        <f t="shared" ref="H175:J177" si="13">H176</f>
        <v>3664337.45</v>
      </c>
      <c r="I175" s="193">
        <f t="shared" si="13"/>
        <v>0</v>
      </c>
      <c r="J175" s="193">
        <f t="shared" si="13"/>
        <v>0</v>
      </c>
      <c r="K175" s="277"/>
    </row>
    <row r="176" spans="1:11" s="173" customFormat="1" ht="15.75" x14ac:dyDescent="0.2">
      <c r="A176" s="292" t="s">
        <v>474</v>
      </c>
      <c r="B176" s="179" t="s">
        <v>0</v>
      </c>
      <c r="C176" s="191" t="s">
        <v>248</v>
      </c>
      <c r="D176" s="191" t="s">
        <v>207</v>
      </c>
      <c r="E176" s="374" t="s">
        <v>476</v>
      </c>
      <c r="F176" s="192"/>
      <c r="G176" s="192"/>
      <c r="H176" s="193">
        <f t="shared" si="13"/>
        <v>3664337.45</v>
      </c>
      <c r="I176" s="193">
        <f t="shared" si="13"/>
        <v>0</v>
      </c>
      <c r="J176" s="193">
        <f t="shared" si="13"/>
        <v>0</v>
      </c>
      <c r="K176" s="277"/>
    </row>
    <row r="177" spans="1:11" s="173" customFormat="1" ht="30" x14ac:dyDescent="0.2">
      <c r="A177" s="72" t="s">
        <v>633</v>
      </c>
      <c r="B177" s="180" t="s">
        <v>0</v>
      </c>
      <c r="C177" s="190" t="s">
        <v>248</v>
      </c>
      <c r="D177" s="190" t="s">
        <v>207</v>
      </c>
      <c r="E177" s="373" t="s">
        <v>632</v>
      </c>
      <c r="F177" s="183"/>
      <c r="G177" s="183"/>
      <c r="H177" s="24">
        <f t="shared" si="13"/>
        <v>3664337.45</v>
      </c>
      <c r="I177" s="24">
        <f t="shared" si="13"/>
        <v>0</v>
      </c>
      <c r="J177" s="24">
        <f t="shared" si="13"/>
        <v>0</v>
      </c>
      <c r="K177" s="212"/>
    </row>
    <row r="178" spans="1:11" s="173" customFormat="1" ht="60" x14ac:dyDescent="0.2">
      <c r="A178" s="72" t="s">
        <v>169</v>
      </c>
      <c r="B178" s="180" t="s">
        <v>0</v>
      </c>
      <c r="C178" s="190" t="s">
        <v>248</v>
      </c>
      <c r="D178" s="190" t="s">
        <v>207</v>
      </c>
      <c r="E178" s="373" t="s">
        <v>632</v>
      </c>
      <c r="F178" s="183" t="s">
        <v>178</v>
      </c>
      <c r="G178" s="183" t="s">
        <v>315</v>
      </c>
      <c r="H178" s="24">
        <f>2487910+890710+47666+238051.45</f>
        <v>3664337.45</v>
      </c>
      <c r="I178" s="24">
        <v>0</v>
      </c>
      <c r="J178" s="24">
        <v>0</v>
      </c>
      <c r="K178" s="212"/>
    </row>
    <row r="179" spans="1:11" s="173" customFormat="1" ht="15.75" x14ac:dyDescent="0.25">
      <c r="A179" s="79" t="s">
        <v>464</v>
      </c>
      <c r="B179" s="179" t="s">
        <v>0</v>
      </c>
      <c r="C179" s="107" t="s">
        <v>248</v>
      </c>
      <c r="D179" s="107" t="s">
        <v>248</v>
      </c>
      <c r="E179" s="103"/>
      <c r="F179" s="183"/>
      <c r="G179" s="183"/>
      <c r="H179" s="24">
        <f t="shared" ref="H179:J182" si="14">H180</f>
        <v>330000</v>
      </c>
      <c r="I179" s="24">
        <f t="shared" si="14"/>
        <v>0</v>
      </c>
      <c r="J179" s="24">
        <f t="shared" si="14"/>
        <v>0</v>
      </c>
      <c r="K179" s="212"/>
    </row>
    <row r="180" spans="1:11" s="173" customFormat="1" ht="47.25" x14ac:dyDescent="0.25">
      <c r="A180" s="79" t="s">
        <v>493</v>
      </c>
      <c r="B180" s="179" t="s">
        <v>0</v>
      </c>
      <c r="C180" s="107" t="s">
        <v>248</v>
      </c>
      <c r="D180" s="107" t="s">
        <v>248</v>
      </c>
      <c r="E180" s="142" t="s">
        <v>494</v>
      </c>
      <c r="F180" s="183"/>
      <c r="G180" s="183"/>
      <c r="H180" s="24">
        <f t="shared" si="14"/>
        <v>330000</v>
      </c>
      <c r="I180" s="24">
        <f t="shared" si="14"/>
        <v>0</v>
      </c>
      <c r="J180" s="24">
        <f t="shared" si="14"/>
        <v>0</v>
      </c>
      <c r="K180" s="212"/>
    </row>
    <row r="181" spans="1:11" s="185" customFormat="1" ht="15.75" x14ac:dyDescent="0.25">
      <c r="A181" s="79" t="s">
        <v>478</v>
      </c>
      <c r="B181" s="179" t="s">
        <v>0</v>
      </c>
      <c r="C181" s="107" t="s">
        <v>248</v>
      </c>
      <c r="D181" s="107" t="s">
        <v>248</v>
      </c>
      <c r="E181" s="142" t="s">
        <v>495</v>
      </c>
      <c r="F181" s="192"/>
      <c r="G181" s="192"/>
      <c r="H181" s="193">
        <f t="shared" si="14"/>
        <v>330000</v>
      </c>
      <c r="I181" s="193">
        <f t="shared" si="14"/>
        <v>0</v>
      </c>
      <c r="J181" s="193">
        <f t="shared" si="14"/>
        <v>0</v>
      </c>
      <c r="K181" s="277"/>
    </row>
    <row r="182" spans="1:11" s="173" customFormat="1" ht="75" x14ac:dyDescent="0.2">
      <c r="A182" s="72" t="s">
        <v>684</v>
      </c>
      <c r="B182" s="180" t="s">
        <v>0</v>
      </c>
      <c r="C182" s="109" t="s">
        <v>248</v>
      </c>
      <c r="D182" s="109" t="s">
        <v>248</v>
      </c>
      <c r="E182" s="373" t="s">
        <v>683</v>
      </c>
      <c r="F182" s="183"/>
      <c r="G182" s="183"/>
      <c r="H182" s="24">
        <f t="shared" si="14"/>
        <v>330000</v>
      </c>
      <c r="I182" s="24">
        <f t="shared" si="14"/>
        <v>0</v>
      </c>
      <c r="J182" s="24">
        <f t="shared" si="14"/>
        <v>0</v>
      </c>
      <c r="K182" s="212"/>
    </row>
    <row r="183" spans="1:11" s="173" customFormat="1" ht="30" x14ac:dyDescent="0.2">
      <c r="A183" s="72" t="s">
        <v>170</v>
      </c>
      <c r="B183" s="180" t="s">
        <v>0</v>
      </c>
      <c r="C183" s="109" t="s">
        <v>248</v>
      </c>
      <c r="D183" s="109" t="s">
        <v>248</v>
      </c>
      <c r="E183" s="373" t="s">
        <v>683</v>
      </c>
      <c r="F183" s="183" t="s">
        <v>181</v>
      </c>
      <c r="G183" s="183" t="s">
        <v>315</v>
      </c>
      <c r="H183" s="24">
        <v>330000</v>
      </c>
      <c r="I183" s="24">
        <v>0</v>
      </c>
      <c r="J183" s="24">
        <v>0</v>
      </c>
      <c r="K183" s="212"/>
    </row>
    <row r="184" spans="1:11" s="173" customFormat="1" ht="15.75" x14ac:dyDescent="0.25">
      <c r="A184" s="221" t="s">
        <v>252</v>
      </c>
      <c r="B184" s="179" t="s">
        <v>0</v>
      </c>
      <c r="C184" s="191" t="s">
        <v>248</v>
      </c>
      <c r="D184" s="191" t="s">
        <v>253</v>
      </c>
      <c r="E184" s="374"/>
      <c r="F184" s="192"/>
      <c r="G184" s="192"/>
      <c r="H184" s="193">
        <f t="shared" ref="H184:J185" si="15">H185</f>
        <v>8602205</v>
      </c>
      <c r="I184" s="193">
        <f t="shared" si="15"/>
        <v>0</v>
      </c>
      <c r="J184" s="193">
        <f t="shared" si="15"/>
        <v>0</v>
      </c>
      <c r="K184" s="277"/>
    </row>
    <row r="185" spans="1:11" s="173" customFormat="1" ht="15.75" x14ac:dyDescent="0.25">
      <c r="A185" s="79" t="s">
        <v>291</v>
      </c>
      <c r="B185" s="179" t="s">
        <v>0</v>
      </c>
      <c r="C185" s="191" t="s">
        <v>248</v>
      </c>
      <c r="D185" s="191" t="s">
        <v>253</v>
      </c>
      <c r="E185" s="374" t="s">
        <v>475</v>
      </c>
      <c r="F185" s="192"/>
      <c r="G185" s="192"/>
      <c r="H185" s="193">
        <f t="shared" si="15"/>
        <v>8602205</v>
      </c>
      <c r="I185" s="193">
        <f t="shared" si="15"/>
        <v>0</v>
      </c>
      <c r="J185" s="193">
        <f t="shared" si="15"/>
        <v>0</v>
      </c>
      <c r="K185" s="277"/>
    </row>
    <row r="186" spans="1:11" s="185" customFormat="1" ht="15.75" x14ac:dyDescent="0.25">
      <c r="A186" s="294" t="s">
        <v>474</v>
      </c>
      <c r="B186" s="179" t="s">
        <v>0</v>
      </c>
      <c r="C186" s="291" t="s">
        <v>248</v>
      </c>
      <c r="D186" s="291" t="s">
        <v>253</v>
      </c>
      <c r="E186" s="375" t="s">
        <v>476</v>
      </c>
      <c r="F186" s="295"/>
      <c r="G186" s="295"/>
      <c r="H186" s="335">
        <f>H189+H187</f>
        <v>8602205</v>
      </c>
      <c r="I186" s="335">
        <f>I189+I187</f>
        <v>0</v>
      </c>
      <c r="J186" s="335">
        <f>J189+J187</f>
        <v>0</v>
      </c>
      <c r="K186" s="296"/>
    </row>
    <row r="187" spans="1:11" s="173" customFormat="1" ht="30" x14ac:dyDescent="0.2">
      <c r="A187" s="298" t="s">
        <v>680</v>
      </c>
      <c r="B187" s="180" t="s">
        <v>0</v>
      </c>
      <c r="C187" s="190" t="s">
        <v>248</v>
      </c>
      <c r="D187" s="190" t="s">
        <v>253</v>
      </c>
      <c r="E187" s="376" t="s">
        <v>679</v>
      </c>
      <c r="F187" s="326"/>
      <c r="G187" s="326"/>
      <c r="H187" s="196">
        <f>H188</f>
        <v>2339600</v>
      </c>
      <c r="I187" s="196">
        <f>I188</f>
        <v>0</v>
      </c>
      <c r="J187" s="196">
        <f>J188</f>
        <v>0</v>
      </c>
      <c r="K187" s="280"/>
    </row>
    <row r="188" spans="1:11" s="173" customFormat="1" ht="60" x14ac:dyDescent="0.2">
      <c r="A188" s="72" t="s">
        <v>169</v>
      </c>
      <c r="B188" s="180" t="s">
        <v>0</v>
      </c>
      <c r="C188" s="190" t="s">
        <v>248</v>
      </c>
      <c r="D188" s="190" t="s">
        <v>253</v>
      </c>
      <c r="E188" s="376" t="s">
        <v>679</v>
      </c>
      <c r="F188" s="183" t="s">
        <v>178</v>
      </c>
      <c r="G188" s="183" t="s">
        <v>315</v>
      </c>
      <c r="H188" s="196">
        <f>2339600</f>
        <v>2339600</v>
      </c>
      <c r="I188" s="196">
        <v>0</v>
      </c>
      <c r="J188" s="196">
        <v>0</v>
      </c>
      <c r="K188" s="280"/>
    </row>
    <row r="189" spans="1:11" s="173" customFormat="1" ht="30" x14ac:dyDescent="0.2">
      <c r="A189" s="72" t="s">
        <v>323</v>
      </c>
      <c r="B189" s="180" t="s">
        <v>0</v>
      </c>
      <c r="C189" s="190" t="s">
        <v>248</v>
      </c>
      <c r="D189" s="190" t="s">
        <v>253</v>
      </c>
      <c r="E189" s="373" t="s">
        <v>573</v>
      </c>
      <c r="F189" s="183"/>
      <c r="G189" s="183"/>
      <c r="H189" s="24">
        <f>SUM(H190:H194)</f>
        <v>6262605</v>
      </c>
      <c r="I189" s="24">
        <f>SUM(I190:I194)</f>
        <v>0</v>
      </c>
      <c r="J189" s="24">
        <f>SUM(J190:J194)</f>
        <v>0</v>
      </c>
      <c r="K189" s="212"/>
    </row>
    <row r="190" spans="1:11" s="173" customFormat="1" ht="60" x14ac:dyDescent="0.2">
      <c r="A190" s="72" t="s">
        <v>169</v>
      </c>
      <c r="B190" s="180" t="s">
        <v>0</v>
      </c>
      <c r="C190" s="190" t="s">
        <v>248</v>
      </c>
      <c r="D190" s="190" t="s">
        <v>253</v>
      </c>
      <c r="E190" s="373" t="s">
        <v>573</v>
      </c>
      <c r="F190" s="183" t="s">
        <v>178</v>
      </c>
      <c r="G190" s="183" t="s">
        <v>315</v>
      </c>
      <c r="H190" s="24">
        <v>675048</v>
      </c>
      <c r="I190" s="24">
        <v>0</v>
      </c>
      <c r="J190" s="24">
        <v>0</v>
      </c>
      <c r="K190" s="212"/>
    </row>
    <row r="191" spans="1:11" s="173" customFormat="1" ht="30" x14ac:dyDescent="0.2">
      <c r="A191" s="72" t="s">
        <v>170</v>
      </c>
      <c r="B191" s="180" t="s">
        <v>0</v>
      </c>
      <c r="C191" s="190" t="s">
        <v>248</v>
      </c>
      <c r="D191" s="190" t="s">
        <v>253</v>
      </c>
      <c r="E191" s="373" t="s">
        <v>573</v>
      </c>
      <c r="F191" s="183" t="s">
        <v>181</v>
      </c>
      <c r="G191" s="183" t="s">
        <v>315</v>
      </c>
      <c r="H191" s="24">
        <v>1627920</v>
      </c>
      <c r="I191" s="24">
        <v>0</v>
      </c>
      <c r="J191" s="24">
        <v>0</v>
      </c>
      <c r="K191" s="212"/>
    </row>
    <row r="192" spans="1:11" s="173" customFormat="1" x14ac:dyDescent="0.2">
      <c r="A192" s="162" t="s">
        <v>171</v>
      </c>
      <c r="B192" s="180" t="s">
        <v>0</v>
      </c>
      <c r="C192" s="190" t="s">
        <v>248</v>
      </c>
      <c r="D192" s="190" t="s">
        <v>253</v>
      </c>
      <c r="E192" s="373" t="s">
        <v>573</v>
      </c>
      <c r="F192" s="183" t="s">
        <v>183</v>
      </c>
      <c r="G192" s="183" t="s">
        <v>315</v>
      </c>
      <c r="H192" s="24">
        <v>1362280</v>
      </c>
      <c r="I192" s="24">
        <v>0</v>
      </c>
      <c r="J192" s="24">
        <v>0</v>
      </c>
      <c r="K192" s="212"/>
    </row>
    <row r="193" spans="1:11" s="173" customFormat="1" ht="30" x14ac:dyDescent="0.2">
      <c r="A193" s="201" t="s">
        <v>173</v>
      </c>
      <c r="B193" s="180" t="s">
        <v>0</v>
      </c>
      <c r="C193" s="190" t="s">
        <v>248</v>
      </c>
      <c r="D193" s="190" t="s">
        <v>253</v>
      </c>
      <c r="E193" s="373" t="s">
        <v>573</v>
      </c>
      <c r="F193" s="183" t="s">
        <v>227</v>
      </c>
      <c r="G193" s="183" t="s">
        <v>315</v>
      </c>
      <c r="H193" s="24">
        <v>2597357</v>
      </c>
      <c r="I193" s="24">
        <v>0</v>
      </c>
      <c r="J193" s="24">
        <v>0</v>
      </c>
      <c r="K193" s="212"/>
    </row>
    <row r="194" spans="1:11" s="173" customFormat="1" x14ac:dyDescent="0.2">
      <c r="A194" s="70" t="s">
        <v>172</v>
      </c>
      <c r="B194" s="180" t="s">
        <v>0</v>
      </c>
      <c r="C194" s="190" t="s">
        <v>248</v>
      </c>
      <c r="D194" s="190" t="s">
        <v>253</v>
      </c>
      <c r="E194" s="373" t="s">
        <v>573</v>
      </c>
      <c r="F194" s="183" t="s">
        <v>179</v>
      </c>
      <c r="G194" s="183" t="s">
        <v>315</v>
      </c>
      <c r="H194" s="24">
        <f>6262605-6262605</f>
        <v>0</v>
      </c>
      <c r="I194" s="24">
        <v>0</v>
      </c>
      <c r="J194" s="24">
        <v>0</v>
      </c>
      <c r="K194" s="212"/>
    </row>
    <row r="195" spans="1:11" s="173" customFormat="1" ht="15.75" x14ac:dyDescent="0.25">
      <c r="A195" s="79" t="s">
        <v>254</v>
      </c>
      <c r="B195" s="179" t="s">
        <v>0</v>
      </c>
      <c r="C195" s="107" t="s">
        <v>255</v>
      </c>
      <c r="D195" s="107"/>
      <c r="E195" s="103"/>
      <c r="F195" s="192"/>
      <c r="G195" s="192"/>
      <c r="H195" s="193">
        <f>H196+H207</f>
        <v>8807349.5700000003</v>
      </c>
      <c r="I195" s="193">
        <f>I196+I207</f>
        <v>0</v>
      </c>
      <c r="J195" s="193">
        <f>J196+J207</f>
        <v>0</v>
      </c>
      <c r="K195" s="277"/>
    </row>
    <row r="196" spans="1:11" s="185" customFormat="1" ht="15.75" x14ac:dyDescent="0.25">
      <c r="A196" s="79" t="s">
        <v>256</v>
      </c>
      <c r="B196" s="179" t="s">
        <v>0</v>
      </c>
      <c r="C196" s="107" t="s">
        <v>255</v>
      </c>
      <c r="D196" s="107" t="s">
        <v>197</v>
      </c>
      <c r="E196" s="103"/>
      <c r="F196" s="191"/>
      <c r="G196" s="191"/>
      <c r="H196" s="193">
        <f>H197</f>
        <v>7730711.5500000007</v>
      </c>
      <c r="I196" s="193">
        <f>I197</f>
        <v>0</v>
      </c>
      <c r="J196" s="193">
        <f>J197</f>
        <v>0</v>
      </c>
      <c r="K196" s="277"/>
    </row>
    <row r="197" spans="1:11" s="173" customFormat="1" ht="15.75" x14ac:dyDescent="0.25">
      <c r="A197" s="79" t="s">
        <v>174</v>
      </c>
      <c r="B197" s="179" t="s">
        <v>0</v>
      </c>
      <c r="C197" s="107" t="s">
        <v>255</v>
      </c>
      <c r="D197" s="107" t="s">
        <v>197</v>
      </c>
      <c r="E197" s="142" t="s">
        <v>505</v>
      </c>
      <c r="F197" s="191"/>
      <c r="G197" s="191"/>
      <c r="H197" s="193">
        <f>H202+H198</f>
        <v>7730711.5500000007</v>
      </c>
      <c r="I197" s="193">
        <f>I202+I198</f>
        <v>0</v>
      </c>
      <c r="J197" s="193">
        <f>J202+J198</f>
        <v>0</v>
      </c>
      <c r="K197" s="277"/>
    </row>
    <row r="198" spans="1:11" s="185" customFormat="1" ht="31.5" x14ac:dyDescent="0.25">
      <c r="A198" s="79" t="s">
        <v>594</v>
      </c>
      <c r="B198" s="179" t="s">
        <v>0</v>
      </c>
      <c r="C198" s="107" t="s">
        <v>255</v>
      </c>
      <c r="D198" s="107" t="s">
        <v>197</v>
      </c>
      <c r="E198" s="142" t="s">
        <v>595</v>
      </c>
      <c r="F198" s="191"/>
      <c r="G198" s="191"/>
      <c r="H198" s="193">
        <f t="shared" ref="H198:J200" si="16">H199</f>
        <v>2938585.86</v>
      </c>
      <c r="I198" s="193">
        <f t="shared" si="16"/>
        <v>0</v>
      </c>
      <c r="J198" s="193">
        <f t="shared" si="16"/>
        <v>0</v>
      </c>
      <c r="K198" s="277"/>
    </row>
    <row r="199" spans="1:11" s="173" customFormat="1" ht="45" x14ac:dyDescent="0.2">
      <c r="A199" s="70" t="s">
        <v>596</v>
      </c>
      <c r="B199" s="180" t="s">
        <v>0</v>
      </c>
      <c r="C199" s="109" t="s">
        <v>255</v>
      </c>
      <c r="D199" s="109" t="s">
        <v>197</v>
      </c>
      <c r="E199" s="143" t="s">
        <v>597</v>
      </c>
      <c r="F199" s="190"/>
      <c r="G199" s="190"/>
      <c r="H199" s="24">
        <f t="shared" si="16"/>
        <v>2938585.86</v>
      </c>
      <c r="I199" s="24">
        <f t="shared" si="16"/>
        <v>0</v>
      </c>
      <c r="J199" s="24">
        <f t="shared" si="16"/>
        <v>0</v>
      </c>
      <c r="K199" s="212"/>
    </row>
    <row r="200" spans="1:11" s="173" customFormat="1" x14ac:dyDescent="0.2">
      <c r="A200" s="70" t="s">
        <v>598</v>
      </c>
      <c r="B200" s="180" t="s">
        <v>0</v>
      </c>
      <c r="C200" s="109" t="s">
        <v>255</v>
      </c>
      <c r="D200" s="109" t="s">
        <v>197</v>
      </c>
      <c r="E200" s="143" t="s">
        <v>593</v>
      </c>
      <c r="F200" s="190"/>
      <c r="G200" s="190"/>
      <c r="H200" s="24">
        <f t="shared" si="16"/>
        <v>2938585.86</v>
      </c>
      <c r="I200" s="24">
        <f t="shared" si="16"/>
        <v>0</v>
      </c>
      <c r="J200" s="24">
        <f t="shared" si="16"/>
        <v>0</v>
      </c>
      <c r="K200" s="212"/>
    </row>
    <row r="201" spans="1:11" s="173" customFormat="1" ht="30" x14ac:dyDescent="0.2">
      <c r="A201" s="72" t="s">
        <v>170</v>
      </c>
      <c r="B201" s="180" t="s">
        <v>0</v>
      </c>
      <c r="C201" s="109" t="s">
        <v>255</v>
      </c>
      <c r="D201" s="109" t="s">
        <v>197</v>
      </c>
      <c r="E201" s="143" t="s">
        <v>593</v>
      </c>
      <c r="F201" s="190" t="s">
        <v>181</v>
      </c>
      <c r="G201" s="190" t="s">
        <v>315</v>
      </c>
      <c r="H201" s="24">
        <v>2938585.86</v>
      </c>
      <c r="I201" s="24">
        <v>0</v>
      </c>
      <c r="J201" s="24">
        <v>0</v>
      </c>
      <c r="K201" s="212"/>
    </row>
    <row r="202" spans="1:11" s="173" customFormat="1" ht="15.75" x14ac:dyDescent="0.2">
      <c r="A202" s="294" t="s">
        <v>474</v>
      </c>
      <c r="B202" s="179" t="s">
        <v>0</v>
      </c>
      <c r="C202" s="302" t="s">
        <v>255</v>
      </c>
      <c r="D202" s="302" t="s">
        <v>197</v>
      </c>
      <c r="E202" s="303" t="s">
        <v>506</v>
      </c>
      <c r="F202" s="304"/>
      <c r="G202" s="304"/>
      <c r="H202" s="305">
        <f>H203+H205</f>
        <v>4792125.6900000004</v>
      </c>
      <c r="I202" s="305">
        <f>I203+I205+I207</f>
        <v>0</v>
      </c>
      <c r="J202" s="305">
        <f>J203+J205+J207</f>
        <v>0</v>
      </c>
      <c r="K202" s="277"/>
    </row>
    <row r="203" spans="1:11" s="173" customFormat="1" ht="30" x14ac:dyDescent="0.2">
      <c r="A203" s="72" t="s">
        <v>636</v>
      </c>
      <c r="B203" s="180" t="s">
        <v>0</v>
      </c>
      <c r="C203" s="190" t="s">
        <v>255</v>
      </c>
      <c r="D203" s="190" t="s">
        <v>197</v>
      </c>
      <c r="E203" s="373" t="s">
        <v>634</v>
      </c>
      <c r="F203" s="183"/>
      <c r="G203" s="183"/>
      <c r="H203" s="24">
        <f>H204</f>
        <v>3648289.74</v>
      </c>
      <c r="I203" s="24">
        <f>I204</f>
        <v>0</v>
      </c>
      <c r="J203" s="24">
        <f>J204</f>
        <v>0</v>
      </c>
      <c r="K203" s="212"/>
    </row>
    <row r="204" spans="1:11" s="173" customFormat="1" ht="60" x14ac:dyDescent="0.2">
      <c r="A204" s="72" t="s">
        <v>169</v>
      </c>
      <c r="B204" s="180" t="s">
        <v>0</v>
      </c>
      <c r="C204" s="190" t="s">
        <v>255</v>
      </c>
      <c r="D204" s="190" t="s">
        <v>197</v>
      </c>
      <c r="E204" s="373" t="s">
        <v>634</v>
      </c>
      <c r="F204" s="183" t="s">
        <v>178</v>
      </c>
      <c r="G204" s="183" t="s">
        <v>315</v>
      </c>
      <c r="H204" s="24">
        <f>3165300+241582.64+89700+151707.1</f>
        <v>3648289.74</v>
      </c>
      <c r="I204" s="24">
        <v>0</v>
      </c>
      <c r="J204" s="24">
        <v>0</v>
      </c>
      <c r="K204" s="212"/>
    </row>
    <row r="205" spans="1:11" s="173" customFormat="1" ht="30" x14ac:dyDescent="0.2">
      <c r="A205" s="72" t="s">
        <v>637</v>
      </c>
      <c r="B205" s="180" t="s">
        <v>0</v>
      </c>
      <c r="C205" s="190" t="s">
        <v>255</v>
      </c>
      <c r="D205" s="190" t="s">
        <v>197</v>
      </c>
      <c r="E205" s="373" t="s">
        <v>635</v>
      </c>
      <c r="F205" s="183"/>
      <c r="G205" s="183"/>
      <c r="H205" s="24">
        <f>H206</f>
        <v>1143835.95</v>
      </c>
      <c r="I205" s="24">
        <f>I206</f>
        <v>0</v>
      </c>
      <c r="J205" s="24">
        <f>J206</f>
        <v>0</v>
      </c>
      <c r="K205" s="212"/>
    </row>
    <row r="206" spans="1:11" s="173" customFormat="1" ht="60" x14ac:dyDescent="0.2">
      <c r="A206" s="72" t="s">
        <v>169</v>
      </c>
      <c r="B206" s="180" t="s">
        <v>0</v>
      </c>
      <c r="C206" s="190" t="s">
        <v>255</v>
      </c>
      <c r="D206" s="190" t="s">
        <v>197</v>
      </c>
      <c r="E206" s="373" t="s">
        <v>635</v>
      </c>
      <c r="F206" s="183" t="s">
        <v>178</v>
      </c>
      <c r="G206" s="183"/>
      <c r="H206" s="24">
        <f>979000+122101.56+42734.39</f>
        <v>1143835.95</v>
      </c>
      <c r="I206" s="24">
        <v>0</v>
      </c>
      <c r="J206" s="24">
        <v>0</v>
      </c>
      <c r="K206" s="212"/>
    </row>
    <row r="207" spans="1:11" s="185" customFormat="1" ht="15.75" x14ac:dyDescent="0.25">
      <c r="A207" s="79" t="s">
        <v>292</v>
      </c>
      <c r="B207" s="179" t="s">
        <v>0</v>
      </c>
      <c r="C207" s="191" t="s">
        <v>255</v>
      </c>
      <c r="D207" s="191" t="s">
        <v>211</v>
      </c>
      <c r="E207" s="374"/>
      <c r="F207" s="192"/>
      <c r="G207" s="192"/>
      <c r="H207" s="193">
        <f t="shared" ref="H207:J210" si="17">H208</f>
        <v>1076638.02</v>
      </c>
      <c r="I207" s="193">
        <f t="shared" si="17"/>
        <v>0</v>
      </c>
      <c r="J207" s="193">
        <f t="shared" si="17"/>
        <v>0</v>
      </c>
      <c r="K207" s="277"/>
    </row>
    <row r="208" spans="1:11" s="185" customFormat="1" ht="15.75" x14ac:dyDescent="0.25">
      <c r="A208" s="79" t="s">
        <v>174</v>
      </c>
      <c r="B208" s="179" t="s">
        <v>0</v>
      </c>
      <c r="C208" s="191" t="s">
        <v>255</v>
      </c>
      <c r="D208" s="191" t="s">
        <v>211</v>
      </c>
      <c r="E208" s="374" t="s">
        <v>505</v>
      </c>
      <c r="F208" s="192"/>
      <c r="G208" s="192"/>
      <c r="H208" s="193">
        <f t="shared" si="17"/>
        <v>1076638.02</v>
      </c>
      <c r="I208" s="193">
        <f t="shared" si="17"/>
        <v>0</v>
      </c>
      <c r="J208" s="193">
        <f t="shared" si="17"/>
        <v>0</v>
      </c>
      <c r="K208" s="277"/>
    </row>
    <row r="209" spans="1:11" s="185" customFormat="1" ht="15.75" x14ac:dyDescent="0.25">
      <c r="A209" s="294" t="s">
        <v>474</v>
      </c>
      <c r="B209" s="179" t="s">
        <v>0</v>
      </c>
      <c r="C209" s="191" t="s">
        <v>255</v>
      </c>
      <c r="D209" s="191" t="s">
        <v>211</v>
      </c>
      <c r="E209" s="374" t="s">
        <v>506</v>
      </c>
      <c r="F209" s="192"/>
      <c r="G209" s="192"/>
      <c r="H209" s="193">
        <f t="shared" si="17"/>
        <v>1076638.02</v>
      </c>
      <c r="I209" s="193">
        <f t="shared" si="17"/>
        <v>0</v>
      </c>
      <c r="J209" s="193">
        <f t="shared" si="17"/>
        <v>0</v>
      </c>
      <c r="K209" s="277"/>
    </row>
    <row r="210" spans="1:11" s="173" customFormat="1" ht="30" x14ac:dyDescent="0.2">
      <c r="A210" s="72" t="s">
        <v>226</v>
      </c>
      <c r="B210" s="180" t="s">
        <v>0</v>
      </c>
      <c r="C210" s="190" t="s">
        <v>255</v>
      </c>
      <c r="D210" s="190" t="s">
        <v>211</v>
      </c>
      <c r="E210" s="373" t="s">
        <v>681</v>
      </c>
      <c r="F210" s="183"/>
      <c r="G210" s="183"/>
      <c r="H210" s="24">
        <f t="shared" si="17"/>
        <v>1076638.02</v>
      </c>
      <c r="I210" s="24">
        <f t="shared" si="17"/>
        <v>0</v>
      </c>
      <c r="J210" s="24">
        <f t="shared" si="17"/>
        <v>0</v>
      </c>
      <c r="K210" s="212"/>
    </row>
    <row r="211" spans="1:11" s="173" customFormat="1" ht="60" x14ac:dyDescent="0.2">
      <c r="A211" s="72" t="s">
        <v>169</v>
      </c>
      <c r="B211" s="180" t="s">
        <v>0</v>
      </c>
      <c r="C211" s="190" t="s">
        <v>255</v>
      </c>
      <c r="D211" s="190" t="s">
        <v>211</v>
      </c>
      <c r="E211" s="373" t="s">
        <v>681</v>
      </c>
      <c r="F211" s="183" t="s">
        <v>178</v>
      </c>
      <c r="G211" s="183"/>
      <c r="H211" s="24">
        <v>1076638.02</v>
      </c>
      <c r="I211" s="24"/>
      <c r="J211" s="24"/>
      <c r="K211" s="212"/>
    </row>
    <row r="212" spans="1:11" s="173" customFormat="1" ht="15.75" x14ac:dyDescent="0.2">
      <c r="A212" s="203" t="s">
        <v>259</v>
      </c>
      <c r="B212" s="179" t="s">
        <v>0</v>
      </c>
      <c r="C212" s="191" t="s">
        <v>232</v>
      </c>
      <c r="D212" s="190"/>
      <c r="E212" s="190"/>
      <c r="F212" s="183"/>
      <c r="G212" s="183"/>
      <c r="H212" s="193">
        <f>H213+H223+H251+H218</f>
        <v>146103928.31999999</v>
      </c>
      <c r="I212" s="193">
        <f>I213+I223+I251+I218</f>
        <v>63308151.539999999</v>
      </c>
      <c r="J212" s="193">
        <f>J213+J223+J251+J218</f>
        <v>86235841.540000007</v>
      </c>
      <c r="K212" s="277"/>
    </row>
    <row r="213" spans="1:11" s="173" customFormat="1" ht="15.75" x14ac:dyDescent="0.2">
      <c r="A213" s="204" t="s">
        <v>260</v>
      </c>
      <c r="B213" s="179" t="s">
        <v>0</v>
      </c>
      <c r="C213" s="83" t="s">
        <v>232</v>
      </c>
      <c r="D213" s="83" t="s">
        <v>197</v>
      </c>
      <c r="E213" s="83"/>
      <c r="F213" s="178"/>
      <c r="G213" s="178"/>
      <c r="H213" s="193">
        <f t="shared" ref="H213:J216" si="18">H214</f>
        <v>2960060.52</v>
      </c>
      <c r="I213" s="193">
        <f t="shared" si="18"/>
        <v>0</v>
      </c>
      <c r="J213" s="193">
        <f t="shared" si="18"/>
        <v>0</v>
      </c>
      <c r="K213" s="277"/>
    </row>
    <row r="214" spans="1:11" s="173" customFormat="1" ht="15.75" x14ac:dyDescent="0.2">
      <c r="A214" s="204" t="s">
        <v>200</v>
      </c>
      <c r="B214" s="179" t="s">
        <v>0</v>
      </c>
      <c r="C214" s="83" t="s">
        <v>232</v>
      </c>
      <c r="D214" s="83" t="s">
        <v>197</v>
      </c>
      <c r="E214" s="83" t="s">
        <v>201</v>
      </c>
      <c r="F214" s="178"/>
      <c r="G214" s="178"/>
      <c r="H214" s="193">
        <f t="shared" si="18"/>
        <v>2960060.52</v>
      </c>
      <c r="I214" s="193">
        <f t="shared" si="18"/>
        <v>0</v>
      </c>
      <c r="J214" s="193">
        <f t="shared" si="18"/>
        <v>0</v>
      </c>
      <c r="K214" s="277"/>
    </row>
    <row r="215" spans="1:11" s="173" customFormat="1" x14ac:dyDescent="0.2">
      <c r="A215" s="72" t="s">
        <v>220</v>
      </c>
      <c r="B215" s="180" t="s">
        <v>0</v>
      </c>
      <c r="C215" s="84" t="s">
        <v>232</v>
      </c>
      <c r="D215" s="84" t="s">
        <v>197</v>
      </c>
      <c r="E215" s="84" t="s">
        <v>221</v>
      </c>
      <c r="F215" s="205"/>
      <c r="G215" s="205"/>
      <c r="H215" s="24">
        <f t="shared" si="18"/>
        <v>2960060.52</v>
      </c>
      <c r="I215" s="24">
        <f t="shared" si="18"/>
        <v>0</v>
      </c>
      <c r="J215" s="24">
        <f t="shared" si="18"/>
        <v>0</v>
      </c>
      <c r="K215" s="212"/>
    </row>
    <row r="216" spans="1:11" s="173" customFormat="1" ht="45" x14ac:dyDescent="0.2">
      <c r="A216" s="116" t="s">
        <v>429</v>
      </c>
      <c r="B216" s="180" t="s">
        <v>0</v>
      </c>
      <c r="C216" s="84" t="s">
        <v>232</v>
      </c>
      <c r="D216" s="84" t="s">
        <v>197</v>
      </c>
      <c r="E216" s="84" t="s">
        <v>430</v>
      </c>
      <c r="F216" s="181"/>
      <c r="G216" s="181"/>
      <c r="H216" s="24">
        <f t="shared" si="18"/>
        <v>2960060.52</v>
      </c>
      <c r="I216" s="24">
        <f t="shared" si="18"/>
        <v>0</v>
      </c>
      <c r="J216" s="24">
        <f t="shared" si="18"/>
        <v>0</v>
      </c>
      <c r="K216" s="212"/>
    </row>
    <row r="217" spans="1:11" s="173" customFormat="1" x14ac:dyDescent="0.2">
      <c r="A217" s="162" t="s">
        <v>171</v>
      </c>
      <c r="B217" s="180" t="s">
        <v>0</v>
      </c>
      <c r="C217" s="84" t="s">
        <v>232</v>
      </c>
      <c r="D217" s="84" t="s">
        <v>197</v>
      </c>
      <c r="E217" s="84" t="s">
        <v>430</v>
      </c>
      <c r="F217" s="109" t="s">
        <v>183</v>
      </c>
      <c r="G217" s="183" t="s">
        <v>306</v>
      </c>
      <c r="H217" s="24">
        <f>2440555.32+210694.2+88716+220095</f>
        <v>2960060.52</v>
      </c>
      <c r="I217" s="24">
        <v>0</v>
      </c>
      <c r="J217" s="25">
        <v>0</v>
      </c>
      <c r="K217" s="213"/>
    </row>
    <row r="218" spans="1:11" s="173" customFormat="1" ht="15.75" x14ac:dyDescent="0.25">
      <c r="A218" s="82" t="s">
        <v>261</v>
      </c>
      <c r="B218" s="180" t="s">
        <v>0</v>
      </c>
      <c r="C218" s="107" t="s">
        <v>232</v>
      </c>
      <c r="D218" s="107" t="s">
        <v>207</v>
      </c>
      <c r="E218" s="107"/>
      <c r="F218" s="107"/>
      <c r="G218" s="183"/>
      <c r="H218" s="24">
        <f t="shared" ref="H218:J221" si="19">H219</f>
        <v>26919921.359999999</v>
      </c>
      <c r="I218" s="24">
        <f t="shared" si="19"/>
        <v>0</v>
      </c>
      <c r="J218" s="24">
        <f t="shared" si="19"/>
        <v>0</v>
      </c>
      <c r="K218" s="213"/>
    </row>
    <row r="219" spans="1:11" s="173" customFormat="1" ht="15.75" x14ac:dyDescent="0.25">
      <c r="A219" s="82" t="s">
        <v>200</v>
      </c>
      <c r="B219" s="180" t="s">
        <v>0</v>
      </c>
      <c r="C219" s="107" t="s">
        <v>232</v>
      </c>
      <c r="D219" s="107" t="s">
        <v>207</v>
      </c>
      <c r="E219" s="107" t="s">
        <v>201</v>
      </c>
      <c r="F219" s="107"/>
      <c r="G219" s="183"/>
      <c r="H219" s="24">
        <f t="shared" si="19"/>
        <v>26919921.359999999</v>
      </c>
      <c r="I219" s="24">
        <f t="shared" si="19"/>
        <v>0</v>
      </c>
      <c r="J219" s="24">
        <f t="shared" si="19"/>
        <v>0</v>
      </c>
      <c r="K219" s="213"/>
    </row>
    <row r="220" spans="1:11" s="173" customFormat="1" x14ac:dyDescent="0.2">
      <c r="A220" s="72" t="s">
        <v>220</v>
      </c>
      <c r="B220" s="180" t="s">
        <v>0</v>
      </c>
      <c r="C220" s="109" t="s">
        <v>232</v>
      </c>
      <c r="D220" s="109" t="s">
        <v>207</v>
      </c>
      <c r="E220" s="109" t="s">
        <v>221</v>
      </c>
      <c r="F220" s="109"/>
      <c r="G220" s="183"/>
      <c r="H220" s="24">
        <f t="shared" si="19"/>
        <v>26919921.359999999</v>
      </c>
      <c r="I220" s="24">
        <f t="shared" si="19"/>
        <v>0</v>
      </c>
      <c r="J220" s="24">
        <f t="shared" si="19"/>
        <v>0</v>
      </c>
      <c r="K220" s="213"/>
    </row>
    <row r="221" spans="1:11" s="173" customFormat="1" x14ac:dyDescent="0.2">
      <c r="A221" s="72" t="s">
        <v>262</v>
      </c>
      <c r="B221" s="180" t="s">
        <v>0</v>
      </c>
      <c r="C221" s="109" t="s">
        <v>232</v>
      </c>
      <c r="D221" s="109" t="s">
        <v>207</v>
      </c>
      <c r="E221" s="109" t="s">
        <v>263</v>
      </c>
      <c r="F221" s="109"/>
      <c r="G221" s="183"/>
      <c r="H221" s="24">
        <f t="shared" si="19"/>
        <v>26919921.359999999</v>
      </c>
      <c r="I221" s="24">
        <f t="shared" si="19"/>
        <v>0</v>
      </c>
      <c r="J221" s="24">
        <f t="shared" si="19"/>
        <v>0</v>
      </c>
      <c r="K221" s="213"/>
    </row>
    <row r="222" spans="1:11" s="173" customFormat="1" ht="30" x14ac:dyDescent="0.2">
      <c r="A222" s="72" t="s">
        <v>175</v>
      </c>
      <c r="B222" s="180" t="s">
        <v>0</v>
      </c>
      <c r="C222" s="109" t="s">
        <v>232</v>
      </c>
      <c r="D222" s="109" t="s">
        <v>207</v>
      </c>
      <c r="E222" s="109" t="s">
        <v>263</v>
      </c>
      <c r="F222" s="109" t="s">
        <v>185</v>
      </c>
      <c r="G222" s="183" t="s">
        <v>315</v>
      </c>
      <c r="H222" s="24">
        <v>26919921.359999999</v>
      </c>
      <c r="I222" s="24">
        <v>0</v>
      </c>
      <c r="J222" s="25">
        <v>0</v>
      </c>
      <c r="K222" s="213"/>
    </row>
    <row r="223" spans="1:11" s="173" customFormat="1" ht="15.75" x14ac:dyDescent="0.2">
      <c r="A223" s="206" t="s">
        <v>264</v>
      </c>
      <c r="B223" s="179" t="s">
        <v>0</v>
      </c>
      <c r="C223" s="191" t="s">
        <v>232</v>
      </c>
      <c r="D223" s="191" t="s">
        <v>211</v>
      </c>
      <c r="E223" s="191"/>
      <c r="F223" s="192"/>
      <c r="G223" s="192"/>
      <c r="H223" s="193">
        <f>H224+H234+H230</f>
        <v>107831088.48</v>
      </c>
      <c r="I223" s="193">
        <f>I224+I234+I230</f>
        <v>57144340</v>
      </c>
      <c r="J223" s="193">
        <f>J224+J234+J230</f>
        <v>80072030</v>
      </c>
      <c r="K223" s="277"/>
    </row>
    <row r="224" spans="1:11" s="173" customFormat="1" ht="15.75" x14ac:dyDescent="0.25">
      <c r="A224" s="82" t="s">
        <v>168</v>
      </c>
      <c r="B224" s="179" t="s">
        <v>0</v>
      </c>
      <c r="C224" s="191" t="s">
        <v>232</v>
      </c>
      <c r="D224" s="191" t="s">
        <v>211</v>
      </c>
      <c r="E224" s="191" t="s">
        <v>475</v>
      </c>
      <c r="F224" s="192"/>
      <c r="G224" s="192"/>
      <c r="H224" s="193">
        <f t="shared" ref="H224:J226" si="20">H225</f>
        <v>2497650</v>
      </c>
      <c r="I224" s="193">
        <f t="shared" si="20"/>
        <v>2497650</v>
      </c>
      <c r="J224" s="193">
        <f t="shared" si="20"/>
        <v>2497650</v>
      </c>
      <c r="K224" s="277"/>
    </row>
    <row r="225" spans="1:11" s="173" customFormat="1" ht="15.75" x14ac:dyDescent="0.2">
      <c r="A225" s="216" t="s">
        <v>474</v>
      </c>
      <c r="B225" s="179" t="s">
        <v>0</v>
      </c>
      <c r="C225" s="191" t="s">
        <v>232</v>
      </c>
      <c r="D225" s="191" t="s">
        <v>211</v>
      </c>
      <c r="E225" s="191" t="s">
        <v>476</v>
      </c>
      <c r="F225" s="192"/>
      <c r="G225" s="192"/>
      <c r="H225" s="193">
        <f t="shared" si="20"/>
        <v>2497650</v>
      </c>
      <c r="I225" s="193">
        <f t="shared" si="20"/>
        <v>2497650</v>
      </c>
      <c r="J225" s="193">
        <f t="shared" si="20"/>
        <v>2497650</v>
      </c>
      <c r="K225" s="277"/>
    </row>
    <row r="226" spans="1:11" s="173" customFormat="1" ht="30" x14ac:dyDescent="0.2">
      <c r="A226" s="199" t="s">
        <v>547</v>
      </c>
      <c r="B226" s="180" t="s">
        <v>0</v>
      </c>
      <c r="C226" s="190" t="s">
        <v>232</v>
      </c>
      <c r="D226" s="190" t="s">
        <v>211</v>
      </c>
      <c r="E226" s="190" t="s">
        <v>546</v>
      </c>
      <c r="F226" s="183"/>
      <c r="G226" s="183"/>
      <c r="H226" s="24">
        <f t="shared" si="20"/>
        <v>2497650</v>
      </c>
      <c r="I226" s="24">
        <f t="shared" si="20"/>
        <v>2497650</v>
      </c>
      <c r="J226" s="24">
        <f t="shared" si="20"/>
        <v>2497650</v>
      </c>
      <c r="K226" s="212"/>
    </row>
    <row r="227" spans="1:11" s="173" customFormat="1" ht="60" x14ac:dyDescent="0.2">
      <c r="A227" s="222" t="s">
        <v>562</v>
      </c>
      <c r="B227" s="180" t="s">
        <v>0</v>
      </c>
      <c r="C227" s="190" t="s">
        <v>232</v>
      </c>
      <c r="D227" s="190" t="s">
        <v>211</v>
      </c>
      <c r="E227" s="190" t="s">
        <v>561</v>
      </c>
      <c r="F227" s="183"/>
      <c r="G227" s="183"/>
      <c r="H227" s="24">
        <f>SUM(H228:H229)</f>
        <v>2497650</v>
      </c>
      <c r="I227" s="24">
        <f>SUM(I228:I229)</f>
        <v>2497650</v>
      </c>
      <c r="J227" s="24">
        <f>SUM(J228:J229)</f>
        <v>2497650</v>
      </c>
      <c r="K227" s="212"/>
    </row>
    <row r="228" spans="1:11" s="173" customFormat="1" ht="30" x14ac:dyDescent="0.2">
      <c r="A228" s="72" t="s">
        <v>170</v>
      </c>
      <c r="B228" s="180" t="s">
        <v>0</v>
      </c>
      <c r="C228" s="190" t="s">
        <v>232</v>
      </c>
      <c r="D228" s="190" t="s">
        <v>211</v>
      </c>
      <c r="E228" s="190" t="s">
        <v>561</v>
      </c>
      <c r="F228" s="183" t="s">
        <v>181</v>
      </c>
      <c r="G228" s="183" t="s">
        <v>315</v>
      </c>
      <c r="H228" s="24">
        <v>74929.5</v>
      </c>
      <c r="I228" s="24">
        <v>74929.5</v>
      </c>
      <c r="J228" s="24">
        <v>74929.5</v>
      </c>
      <c r="K228" s="212"/>
    </row>
    <row r="229" spans="1:11" s="173" customFormat="1" x14ac:dyDescent="0.2">
      <c r="A229" s="162" t="s">
        <v>171</v>
      </c>
      <c r="B229" s="180" t="s">
        <v>0</v>
      </c>
      <c r="C229" s="190" t="s">
        <v>232</v>
      </c>
      <c r="D229" s="190" t="s">
        <v>211</v>
      </c>
      <c r="E229" s="190" t="s">
        <v>561</v>
      </c>
      <c r="F229" s="183" t="s">
        <v>183</v>
      </c>
      <c r="G229" s="183" t="s">
        <v>315</v>
      </c>
      <c r="H229" s="24">
        <v>2422720.5</v>
      </c>
      <c r="I229" s="24">
        <v>2422720.5</v>
      </c>
      <c r="J229" s="24">
        <v>2422720.5</v>
      </c>
      <c r="K229" s="212"/>
    </row>
    <row r="230" spans="1:11" s="173" customFormat="1" ht="47.25" x14ac:dyDescent="0.2">
      <c r="A230" s="194" t="s">
        <v>184</v>
      </c>
      <c r="B230" s="179" t="s">
        <v>0</v>
      </c>
      <c r="C230" s="191" t="s">
        <v>232</v>
      </c>
      <c r="D230" s="191" t="s">
        <v>211</v>
      </c>
      <c r="E230" s="191" t="s">
        <v>501</v>
      </c>
      <c r="F230" s="192"/>
      <c r="G230" s="192"/>
      <c r="H230" s="193">
        <f t="shared" ref="H230:J232" si="21">H231</f>
        <v>13066177.48</v>
      </c>
      <c r="I230" s="193">
        <f t="shared" si="21"/>
        <v>0</v>
      </c>
      <c r="J230" s="193">
        <f t="shared" si="21"/>
        <v>0</v>
      </c>
      <c r="K230" s="277"/>
    </row>
    <row r="231" spans="1:11" s="173" customFormat="1" ht="15.75" x14ac:dyDescent="0.2">
      <c r="A231" s="194" t="s">
        <v>478</v>
      </c>
      <c r="B231" s="179" t="s">
        <v>0</v>
      </c>
      <c r="C231" s="191" t="s">
        <v>232</v>
      </c>
      <c r="D231" s="191" t="s">
        <v>211</v>
      </c>
      <c r="E231" s="191" t="s">
        <v>502</v>
      </c>
      <c r="F231" s="192"/>
      <c r="G231" s="192"/>
      <c r="H231" s="193">
        <f t="shared" si="21"/>
        <v>13066177.48</v>
      </c>
      <c r="I231" s="193">
        <f t="shared" si="21"/>
        <v>0</v>
      </c>
      <c r="J231" s="193">
        <f t="shared" si="21"/>
        <v>0</v>
      </c>
      <c r="K231" s="277"/>
    </row>
    <row r="232" spans="1:11" s="173" customFormat="1" ht="30" x14ac:dyDescent="0.2">
      <c r="A232" s="162" t="s">
        <v>324</v>
      </c>
      <c r="B232" s="180" t="s">
        <v>0</v>
      </c>
      <c r="C232" s="190" t="s">
        <v>232</v>
      </c>
      <c r="D232" s="190" t="s">
        <v>211</v>
      </c>
      <c r="E232" s="190" t="s">
        <v>599</v>
      </c>
      <c r="F232" s="183"/>
      <c r="G232" s="183"/>
      <c r="H232" s="24">
        <f t="shared" si="21"/>
        <v>13066177.48</v>
      </c>
      <c r="I232" s="24">
        <f t="shared" si="21"/>
        <v>0</v>
      </c>
      <c r="J232" s="24">
        <f t="shared" si="21"/>
        <v>0</v>
      </c>
      <c r="K232" s="212"/>
    </row>
    <row r="233" spans="1:11" s="173" customFormat="1" x14ac:dyDescent="0.2">
      <c r="A233" s="162" t="s">
        <v>171</v>
      </c>
      <c r="B233" s="180" t="s">
        <v>0</v>
      </c>
      <c r="C233" s="190" t="s">
        <v>232</v>
      </c>
      <c r="D233" s="190" t="s">
        <v>211</v>
      </c>
      <c r="E233" s="190" t="s">
        <v>599</v>
      </c>
      <c r="F233" s="183" t="s">
        <v>183</v>
      </c>
      <c r="G233" s="183" t="s">
        <v>315</v>
      </c>
      <c r="H233" s="24">
        <f>13230342.17-164164.69</f>
        <v>13066177.48</v>
      </c>
      <c r="I233" s="24">
        <v>0</v>
      </c>
      <c r="J233" s="24">
        <v>0</v>
      </c>
      <c r="K233" s="212"/>
    </row>
    <row r="234" spans="1:11" s="173" customFormat="1" ht="15.75" x14ac:dyDescent="0.2">
      <c r="A234" s="204" t="s">
        <v>200</v>
      </c>
      <c r="B234" s="179" t="s">
        <v>0</v>
      </c>
      <c r="C234" s="191" t="s">
        <v>232</v>
      </c>
      <c r="D234" s="191" t="s">
        <v>211</v>
      </c>
      <c r="E234" s="83" t="s">
        <v>201</v>
      </c>
      <c r="F234" s="192"/>
      <c r="G234" s="192"/>
      <c r="H234" s="193">
        <f>H235</f>
        <v>92267261</v>
      </c>
      <c r="I234" s="193">
        <f>I235</f>
        <v>54646690</v>
      </c>
      <c r="J234" s="193">
        <f>J235</f>
        <v>77574380</v>
      </c>
      <c r="K234" s="277"/>
    </row>
    <row r="235" spans="1:11" s="173" customFormat="1" ht="15.75" x14ac:dyDescent="0.25">
      <c r="A235" s="82" t="s">
        <v>220</v>
      </c>
      <c r="B235" s="179" t="s">
        <v>0</v>
      </c>
      <c r="C235" s="191" t="s">
        <v>232</v>
      </c>
      <c r="D235" s="191" t="s">
        <v>211</v>
      </c>
      <c r="E235" s="83" t="s">
        <v>221</v>
      </c>
      <c r="F235" s="192"/>
      <c r="G235" s="192"/>
      <c r="H235" s="193">
        <f>H236+H238+H241+H243+H245+H247+H249</f>
        <v>92267261</v>
      </c>
      <c r="I235" s="193">
        <f>I236+I238+I241+I243+I245+I247+I249</f>
        <v>54646690</v>
      </c>
      <c r="J235" s="193">
        <f>J236+J238+J241+J243+J245+J247+J249</f>
        <v>77574380</v>
      </c>
      <c r="K235" s="277"/>
    </row>
    <row r="236" spans="1:11" s="173" customFormat="1" ht="45" x14ac:dyDescent="0.2">
      <c r="A236" s="157" t="s">
        <v>325</v>
      </c>
      <c r="B236" s="180" t="s">
        <v>0</v>
      </c>
      <c r="C236" s="190" t="s">
        <v>232</v>
      </c>
      <c r="D236" s="190" t="s">
        <v>211</v>
      </c>
      <c r="E236" s="84" t="s">
        <v>326</v>
      </c>
      <c r="F236" s="192"/>
      <c r="G236" s="192"/>
      <c r="H236" s="24">
        <f>H237</f>
        <v>0</v>
      </c>
      <c r="I236" s="24">
        <f>I237</f>
        <v>0</v>
      </c>
      <c r="J236" s="24">
        <f>J237</f>
        <v>0</v>
      </c>
      <c r="K236" s="212"/>
    </row>
    <row r="237" spans="1:11" s="173" customFormat="1" x14ac:dyDescent="0.2">
      <c r="A237" s="162" t="s">
        <v>171</v>
      </c>
      <c r="B237" s="180" t="s">
        <v>0</v>
      </c>
      <c r="C237" s="190" t="s">
        <v>232</v>
      </c>
      <c r="D237" s="190" t="s">
        <v>211</v>
      </c>
      <c r="E237" s="84" t="s">
        <v>326</v>
      </c>
      <c r="F237" s="183" t="s">
        <v>183</v>
      </c>
      <c r="G237" s="183" t="s">
        <v>315</v>
      </c>
      <c r="H237" s="24"/>
      <c r="I237" s="24"/>
      <c r="J237" s="24"/>
      <c r="K237" s="212"/>
    </row>
    <row r="238" spans="1:11" s="173" customFormat="1" ht="60" x14ac:dyDescent="0.2">
      <c r="A238" s="162" t="s">
        <v>148</v>
      </c>
      <c r="B238" s="180" t="s">
        <v>0</v>
      </c>
      <c r="C238" s="190" t="s">
        <v>232</v>
      </c>
      <c r="D238" s="190" t="s">
        <v>211</v>
      </c>
      <c r="E238" s="190" t="s">
        <v>327</v>
      </c>
      <c r="F238" s="183"/>
      <c r="G238" s="183"/>
      <c r="H238" s="24">
        <f>H240+H239</f>
        <v>47243361</v>
      </c>
      <c r="I238" s="24">
        <f>I240+I239</f>
        <v>22927690</v>
      </c>
      <c r="J238" s="24">
        <f>J240+J239</f>
        <v>45855380</v>
      </c>
      <c r="K238" s="212"/>
    </row>
    <row r="239" spans="1:11" s="173" customFormat="1" x14ac:dyDescent="0.2">
      <c r="A239" s="162" t="s">
        <v>171</v>
      </c>
      <c r="B239" s="180" t="s">
        <v>0</v>
      </c>
      <c r="C239" s="190" t="s">
        <v>232</v>
      </c>
      <c r="D239" s="190" t="s">
        <v>211</v>
      </c>
      <c r="E239" s="190" t="s">
        <v>327</v>
      </c>
      <c r="F239" s="183" t="s">
        <v>183</v>
      </c>
      <c r="G239" s="183" t="s">
        <v>315</v>
      </c>
      <c r="H239" s="24">
        <f>2317557-2317557+7745463</f>
        <v>7745463</v>
      </c>
      <c r="I239" s="24"/>
      <c r="J239" s="24"/>
      <c r="K239" s="212"/>
    </row>
    <row r="240" spans="1:11" s="173" customFormat="1" ht="30" x14ac:dyDescent="0.2">
      <c r="A240" s="72" t="s">
        <v>187</v>
      </c>
      <c r="B240" s="180" t="s">
        <v>0</v>
      </c>
      <c r="C240" s="190" t="s">
        <v>232</v>
      </c>
      <c r="D240" s="190" t="s">
        <v>211</v>
      </c>
      <c r="E240" s="190" t="s">
        <v>327</v>
      </c>
      <c r="F240" s="183" t="s">
        <v>185</v>
      </c>
      <c r="G240" s="183" t="s">
        <v>315</v>
      </c>
      <c r="H240" s="24">
        <f>5736283-5736283+30249880.9-1.9+9248019</f>
        <v>39497898</v>
      </c>
      <c r="I240" s="24">
        <v>22927690</v>
      </c>
      <c r="J240" s="24">
        <v>45855380</v>
      </c>
      <c r="K240" s="212"/>
    </row>
    <row r="241" spans="1:11" s="173" customFormat="1" ht="120" x14ac:dyDescent="0.2">
      <c r="A241" s="220" t="s">
        <v>517</v>
      </c>
      <c r="B241" s="180" t="s">
        <v>0</v>
      </c>
      <c r="C241" s="190" t="s">
        <v>232</v>
      </c>
      <c r="D241" s="190" t="s">
        <v>211</v>
      </c>
      <c r="E241" s="370" t="s">
        <v>518</v>
      </c>
      <c r="F241" s="183"/>
      <c r="G241" s="183"/>
      <c r="H241" s="24">
        <f>H242</f>
        <v>43167332</v>
      </c>
      <c r="I241" s="24">
        <f>I242</f>
        <v>29862432</v>
      </c>
      <c r="J241" s="24">
        <f>J242</f>
        <v>29862432</v>
      </c>
      <c r="K241" s="212"/>
    </row>
    <row r="242" spans="1:11" s="173" customFormat="1" x14ac:dyDescent="0.2">
      <c r="A242" s="162" t="s">
        <v>171</v>
      </c>
      <c r="B242" s="180" t="s">
        <v>0</v>
      </c>
      <c r="C242" s="190" t="s">
        <v>232</v>
      </c>
      <c r="D242" s="190" t="s">
        <v>211</v>
      </c>
      <c r="E242" s="370" t="s">
        <v>518</v>
      </c>
      <c r="F242" s="183" t="s">
        <v>183</v>
      </c>
      <c r="G242" s="183" t="s">
        <v>315</v>
      </c>
      <c r="H242" s="24">
        <f>46167316.13-2999984.13</f>
        <v>43167332</v>
      </c>
      <c r="I242" s="24">
        <v>29862432</v>
      </c>
      <c r="J242" s="24">
        <v>29862432</v>
      </c>
      <c r="K242" s="213"/>
    </row>
    <row r="243" spans="1:11" s="173" customFormat="1" ht="45" x14ac:dyDescent="0.2">
      <c r="A243" s="220" t="s">
        <v>311</v>
      </c>
      <c r="B243" s="180" t="s">
        <v>0</v>
      </c>
      <c r="C243" s="190" t="s">
        <v>232</v>
      </c>
      <c r="D243" s="190" t="s">
        <v>211</v>
      </c>
      <c r="E243" s="370" t="s">
        <v>328</v>
      </c>
      <c r="F243" s="183"/>
      <c r="G243" s="183"/>
      <c r="H243" s="24">
        <f>H244</f>
        <v>0</v>
      </c>
      <c r="I243" s="24">
        <f>I244</f>
        <v>0</v>
      </c>
      <c r="J243" s="24">
        <f>J244</f>
        <v>0</v>
      </c>
      <c r="K243" s="212"/>
    </row>
    <row r="244" spans="1:11" s="173" customFormat="1" x14ac:dyDescent="0.2">
      <c r="A244" s="162" t="s">
        <v>171</v>
      </c>
      <c r="B244" s="180" t="s">
        <v>0</v>
      </c>
      <c r="C244" s="190" t="s">
        <v>232</v>
      </c>
      <c r="D244" s="190" t="s">
        <v>211</v>
      </c>
      <c r="E244" s="370" t="s">
        <v>328</v>
      </c>
      <c r="F244" s="183" t="s">
        <v>183</v>
      </c>
      <c r="G244" s="183" t="s">
        <v>315</v>
      </c>
      <c r="H244" s="24"/>
      <c r="I244" s="24"/>
      <c r="J244" s="24"/>
      <c r="K244" s="212"/>
    </row>
    <row r="245" spans="1:11" s="173" customFormat="1" ht="60" x14ac:dyDescent="0.2">
      <c r="A245" s="162" t="s">
        <v>520</v>
      </c>
      <c r="B245" s="180" t="s">
        <v>0</v>
      </c>
      <c r="C245" s="190" t="s">
        <v>232</v>
      </c>
      <c r="D245" s="190" t="s">
        <v>211</v>
      </c>
      <c r="E245" s="370" t="s">
        <v>519</v>
      </c>
      <c r="F245" s="183"/>
      <c r="G245" s="183"/>
      <c r="H245" s="24">
        <f>H246</f>
        <v>758568</v>
      </c>
      <c r="I245" s="24">
        <f>I246</f>
        <v>758568</v>
      </c>
      <c r="J245" s="24">
        <f>J246</f>
        <v>758568</v>
      </c>
      <c r="K245" s="212"/>
    </row>
    <row r="246" spans="1:11" s="173" customFormat="1" x14ac:dyDescent="0.2">
      <c r="A246" s="162" t="s">
        <v>171</v>
      </c>
      <c r="B246" s="180" t="s">
        <v>0</v>
      </c>
      <c r="C246" s="190" t="s">
        <v>232</v>
      </c>
      <c r="D246" s="190" t="s">
        <v>211</v>
      </c>
      <c r="E246" s="370" t="s">
        <v>519</v>
      </c>
      <c r="F246" s="183" t="s">
        <v>183</v>
      </c>
      <c r="G246" s="183" t="s">
        <v>315</v>
      </c>
      <c r="H246" s="24">
        <v>758568</v>
      </c>
      <c r="I246" s="24">
        <v>758568</v>
      </c>
      <c r="J246" s="24">
        <v>758568</v>
      </c>
      <c r="K246" s="212"/>
    </row>
    <row r="247" spans="1:11" s="173" customFormat="1" ht="60" x14ac:dyDescent="0.2">
      <c r="A247" s="220" t="s">
        <v>329</v>
      </c>
      <c r="B247" s="180" t="s">
        <v>0</v>
      </c>
      <c r="C247" s="190" t="s">
        <v>232</v>
      </c>
      <c r="D247" s="190" t="s">
        <v>211</v>
      </c>
      <c r="E247" s="370" t="s">
        <v>330</v>
      </c>
      <c r="F247" s="183"/>
      <c r="G247" s="183"/>
      <c r="H247" s="24">
        <f>H248</f>
        <v>0</v>
      </c>
      <c r="I247" s="24">
        <f>I248</f>
        <v>0</v>
      </c>
      <c r="J247" s="24">
        <f>J248</f>
        <v>0</v>
      </c>
      <c r="K247" s="212"/>
    </row>
    <row r="248" spans="1:11" s="173" customFormat="1" x14ac:dyDescent="0.2">
      <c r="A248" s="162" t="s">
        <v>171</v>
      </c>
      <c r="B248" s="180" t="s">
        <v>0</v>
      </c>
      <c r="C248" s="190" t="s">
        <v>232</v>
      </c>
      <c r="D248" s="190" t="s">
        <v>211</v>
      </c>
      <c r="E248" s="370" t="s">
        <v>330</v>
      </c>
      <c r="F248" s="183" t="s">
        <v>183</v>
      </c>
      <c r="G248" s="183" t="s">
        <v>315</v>
      </c>
      <c r="H248" s="24"/>
      <c r="I248" s="24"/>
      <c r="J248" s="25"/>
      <c r="K248" s="213"/>
    </row>
    <row r="249" spans="1:11" s="173" customFormat="1" ht="150" x14ac:dyDescent="0.2">
      <c r="A249" s="162" t="s">
        <v>521</v>
      </c>
      <c r="B249" s="180" t="s">
        <v>0</v>
      </c>
      <c r="C249" s="190" t="s">
        <v>232</v>
      </c>
      <c r="D249" s="190" t="s">
        <v>211</v>
      </c>
      <c r="E249" s="370" t="s">
        <v>522</v>
      </c>
      <c r="F249" s="183"/>
      <c r="G249" s="183"/>
      <c r="H249" s="24">
        <f>H250</f>
        <v>1098000</v>
      </c>
      <c r="I249" s="24">
        <f>I250</f>
        <v>1098000</v>
      </c>
      <c r="J249" s="24">
        <f>J250</f>
        <v>1098000</v>
      </c>
      <c r="K249" s="212"/>
    </row>
    <row r="250" spans="1:11" s="173" customFormat="1" x14ac:dyDescent="0.2">
      <c r="A250" s="162" t="s">
        <v>171</v>
      </c>
      <c r="B250" s="180" t="s">
        <v>0</v>
      </c>
      <c r="C250" s="190" t="s">
        <v>232</v>
      </c>
      <c r="D250" s="190" t="s">
        <v>211</v>
      </c>
      <c r="E250" s="370" t="s">
        <v>522</v>
      </c>
      <c r="F250" s="183" t="s">
        <v>183</v>
      </c>
      <c r="G250" s="183" t="s">
        <v>315</v>
      </c>
      <c r="H250" s="24">
        <v>1098000</v>
      </c>
      <c r="I250" s="24">
        <v>1098000</v>
      </c>
      <c r="J250" s="24">
        <v>1098000</v>
      </c>
      <c r="K250" s="212"/>
    </row>
    <row r="251" spans="1:11" s="202" customFormat="1" ht="15.75" x14ac:dyDescent="0.2">
      <c r="A251" s="207" t="s">
        <v>265</v>
      </c>
      <c r="B251" s="179" t="s">
        <v>0</v>
      </c>
      <c r="C251" s="191" t="s">
        <v>232</v>
      </c>
      <c r="D251" s="191" t="s">
        <v>215</v>
      </c>
      <c r="E251" s="191"/>
      <c r="F251" s="192"/>
      <c r="G251" s="192"/>
      <c r="H251" s="193">
        <f t="shared" ref="H251:J252" si="22">H252</f>
        <v>8392857.9600000009</v>
      </c>
      <c r="I251" s="193">
        <f t="shared" si="22"/>
        <v>6163811.54</v>
      </c>
      <c r="J251" s="193">
        <f t="shared" si="22"/>
        <v>6163811.54</v>
      </c>
      <c r="K251" s="277"/>
    </row>
    <row r="252" spans="1:11" s="202" customFormat="1" ht="15.75" x14ac:dyDescent="0.25">
      <c r="A252" s="82" t="s">
        <v>200</v>
      </c>
      <c r="B252" s="179" t="s">
        <v>0</v>
      </c>
      <c r="C252" s="191" t="s">
        <v>232</v>
      </c>
      <c r="D252" s="191" t="s">
        <v>215</v>
      </c>
      <c r="E252" s="191" t="s">
        <v>201</v>
      </c>
      <c r="F252" s="192"/>
      <c r="G252" s="192"/>
      <c r="H252" s="193">
        <f t="shared" si="22"/>
        <v>8392857.9600000009</v>
      </c>
      <c r="I252" s="193">
        <f t="shared" si="22"/>
        <v>6163811.54</v>
      </c>
      <c r="J252" s="193">
        <f t="shared" si="22"/>
        <v>6163811.54</v>
      </c>
      <c r="K252" s="277"/>
    </row>
    <row r="253" spans="1:11" s="202" customFormat="1" ht="15.75" x14ac:dyDescent="0.25">
      <c r="A253" s="82" t="s">
        <v>220</v>
      </c>
      <c r="B253" s="179" t="s">
        <v>0</v>
      </c>
      <c r="C253" s="191" t="s">
        <v>232</v>
      </c>
      <c r="D253" s="191" t="s">
        <v>215</v>
      </c>
      <c r="E253" s="83" t="s">
        <v>221</v>
      </c>
      <c r="F253" s="192"/>
      <c r="G253" s="192"/>
      <c r="H253" s="193">
        <f>H254+H257+H260+H263</f>
        <v>8392857.9600000009</v>
      </c>
      <c r="I253" s="193">
        <f>I254+I257+I260+I263</f>
        <v>6163811.54</v>
      </c>
      <c r="J253" s="193">
        <f>J254+J257+J260+J263</f>
        <v>6163811.54</v>
      </c>
      <c r="K253" s="277"/>
    </row>
    <row r="254" spans="1:11" s="202" customFormat="1" ht="45" x14ac:dyDescent="0.2">
      <c r="A254" s="220" t="s">
        <v>331</v>
      </c>
      <c r="B254" s="180" t="s">
        <v>0</v>
      </c>
      <c r="C254" s="190" t="s">
        <v>232</v>
      </c>
      <c r="D254" s="190" t="s">
        <v>215</v>
      </c>
      <c r="E254" s="190" t="s">
        <v>523</v>
      </c>
      <c r="F254" s="183"/>
      <c r="G254" s="183"/>
      <c r="H254" s="24">
        <f>SUM(H255:H256)</f>
        <v>319599.49</v>
      </c>
      <c r="I254" s="24">
        <f>SUM(I255:I256)</f>
        <v>274680</v>
      </c>
      <c r="J254" s="24">
        <f>SUM(J255:J256)</f>
        <v>274680</v>
      </c>
      <c r="K254" s="212"/>
    </row>
    <row r="255" spans="1:11" s="202" customFormat="1" ht="60" x14ac:dyDescent="0.2">
      <c r="A255" s="72" t="s">
        <v>169</v>
      </c>
      <c r="B255" s="180" t="s">
        <v>0</v>
      </c>
      <c r="C255" s="190" t="s">
        <v>232</v>
      </c>
      <c r="D255" s="190" t="s">
        <v>215</v>
      </c>
      <c r="E255" s="190" t="s">
        <v>523</v>
      </c>
      <c r="F255" s="183" t="s">
        <v>178</v>
      </c>
      <c r="G255" s="183" t="s">
        <v>315</v>
      </c>
      <c r="H255" s="24">
        <f>265471+14070.33</f>
        <v>279541.33</v>
      </c>
      <c r="I255" s="24">
        <v>265471</v>
      </c>
      <c r="J255" s="24">
        <v>265471</v>
      </c>
      <c r="K255" s="212"/>
    </row>
    <row r="256" spans="1:11" s="202" customFormat="1" ht="30" x14ac:dyDescent="0.2">
      <c r="A256" s="72" t="s">
        <v>170</v>
      </c>
      <c r="B256" s="180" t="s">
        <v>0</v>
      </c>
      <c r="C256" s="190" t="s">
        <v>232</v>
      </c>
      <c r="D256" s="190" t="s">
        <v>215</v>
      </c>
      <c r="E256" s="190" t="s">
        <v>523</v>
      </c>
      <c r="F256" s="183" t="s">
        <v>181</v>
      </c>
      <c r="G256" s="183" t="s">
        <v>315</v>
      </c>
      <c r="H256" s="24">
        <f>9209+30849.16</f>
        <v>40058.160000000003</v>
      </c>
      <c r="I256" s="24">
        <v>9209</v>
      </c>
      <c r="J256" s="24">
        <v>9209</v>
      </c>
      <c r="K256" s="212"/>
    </row>
    <row r="257" spans="1:11" s="202" customFormat="1" ht="30" x14ac:dyDescent="0.2">
      <c r="A257" s="157" t="s">
        <v>312</v>
      </c>
      <c r="B257" s="180" t="s">
        <v>0</v>
      </c>
      <c r="C257" s="190" t="s">
        <v>232</v>
      </c>
      <c r="D257" s="190" t="s">
        <v>215</v>
      </c>
      <c r="E257" s="190" t="s">
        <v>524</v>
      </c>
      <c r="F257" s="183"/>
      <c r="G257" s="183"/>
      <c r="H257" s="24">
        <f>SUM(H258:H259)</f>
        <v>5563395.2700000005</v>
      </c>
      <c r="I257" s="24">
        <f>SUM(I258:I259)</f>
        <v>3898575.82</v>
      </c>
      <c r="J257" s="24">
        <f>SUM(J258:J259)</f>
        <v>3898575.82</v>
      </c>
      <c r="K257" s="212"/>
    </row>
    <row r="258" spans="1:11" s="202" customFormat="1" ht="60" x14ac:dyDescent="0.2">
      <c r="A258" s="72" t="s">
        <v>169</v>
      </c>
      <c r="B258" s="180" t="s">
        <v>0</v>
      </c>
      <c r="C258" s="190" t="s">
        <v>232</v>
      </c>
      <c r="D258" s="190" t="s">
        <v>215</v>
      </c>
      <c r="E258" s="190" t="s">
        <v>524</v>
      </c>
      <c r="F258" s="183" t="s">
        <v>178</v>
      </c>
      <c r="G258" s="183" t="s">
        <v>315</v>
      </c>
      <c r="H258" s="24">
        <f>3769391.82+4.18+438067.01+383886.45+147043.94+33585.47+437098.87</f>
        <v>5209077.74</v>
      </c>
      <c r="I258" s="24">
        <v>3769391.82</v>
      </c>
      <c r="J258" s="24">
        <v>3769391.82</v>
      </c>
      <c r="K258" s="212"/>
    </row>
    <row r="259" spans="1:11" s="202" customFormat="1" ht="30" x14ac:dyDescent="0.2">
      <c r="A259" s="72" t="s">
        <v>170</v>
      </c>
      <c r="B259" s="180" t="s">
        <v>0</v>
      </c>
      <c r="C259" s="190" t="s">
        <v>232</v>
      </c>
      <c r="D259" s="190" t="s">
        <v>215</v>
      </c>
      <c r="E259" s="190" t="s">
        <v>524</v>
      </c>
      <c r="F259" s="183" t="s">
        <v>181</v>
      </c>
      <c r="G259" s="183" t="s">
        <v>315</v>
      </c>
      <c r="H259" s="24">
        <f>129184+225133.53</f>
        <v>354317.53</v>
      </c>
      <c r="I259" s="24">
        <v>129184</v>
      </c>
      <c r="J259" s="24">
        <v>129184</v>
      </c>
      <c r="K259" s="212"/>
    </row>
    <row r="260" spans="1:11" s="202" customFormat="1" ht="30" x14ac:dyDescent="0.2">
      <c r="A260" s="157" t="s">
        <v>332</v>
      </c>
      <c r="B260" s="180" t="s">
        <v>0</v>
      </c>
      <c r="C260" s="190" t="s">
        <v>232</v>
      </c>
      <c r="D260" s="190" t="s">
        <v>215</v>
      </c>
      <c r="E260" s="190" t="s">
        <v>525</v>
      </c>
      <c r="F260" s="183"/>
      <c r="G260" s="183"/>
      <c r="H260" s="24">
        <f>SUM(H261:H262)</f>
        <v>1220627.4500000002</v>
      </c>
      <c r="I260" s="24">
        <f>SUM(I261:I262)</f>
        <v>958087.92</v>
      </c>
      <c r="J260" s="24">
        <f>SUM(J261:J262)</f>
        <v>958087.92</v>
      </c>
      <c r="K260" s="212"/>
    </row>
    <row r="261" spans="1:11" s="202" customFormat="1" ht="60" x14ac:dyDescent="0.2">
      <c r="A261" s="72" t="s">
        <v>169</v>
      </c>
      <c r="B261" s="180" t="s">
        <v>0</v>
      </c>
      <c r="C261" s="190" t="s">
        <v>232</v>
      </c>
      <c r="D261" s="190" t="s">
        <v>215</v>
      </c>
      <c r="E261" s="190" t="s">
        <v>525</v>
      </c>
      <c r="F261" s="183" t="s">
        <v>178</v>
      </c>
      <c r="G261" s="183" t="s">
        <v>315</v>
      </c>
      <c r="H261" s="24">
        <f>931801.92+2.08+110175.57+102110.11+20338.77+29913</f>
        <v>1194341.4500000002</v>
      </c>
      <c r="I261" s="24">
        <v>931801.92</v>
      </c>
      <c r="J261" s="24">
        <v>931801.92</v>
      </c>
      <c r="K261" s="212"/>
    </row>
    <row r="262" spans="1:11" s="185" customFormat="1" ht="30.75" x14ac:dyDescent="0.25">
      <c r="A262" s="72" t="s">
        <v>170</v>
      </c>
      <c r="B262" s="180" t="s">
        <v>0</v>
      </c>
      <c r="C262" s="190" t="s">
        <v>232</v>
      </c>
      <c r="D262" s="190" t="s">
        <v>215</v>
      </c>
      <c r="E262" s="190" t="s">
        <v>525</v>
      </c>
      <c r="F262" s="183" t="s">
        <v>181</v>
      </c>
      <c r="G262" s="183" t="s">
        <v>315</v>
      </c>
      <c r="H262" s="24">
        <v>26286</v>
      </c>
      <c r="I262" s="24">
        <v>26286</v>
      </c>
      <c r="J262" s="24">
        <v>26286</v>
      </c>
      <c r="K262" s="212"/>
    </row>
    <row r="263" spans="1:11" s="173" customFormat="1" ht="45" x14ac:dyDescent="0.2">
      <c r="A263" s="157" t="s">
        <v>333</v>
      </c>
      <c r="B263" s="180" t="s">
        <v>0</v>
      </c>
      <c r="C263" s="190" t="s">
        <v>232</v>
      </c>
      <c r="D263" s="190" t="s">
        <v>215</v>
      </c>
      <c r="E263" s="190" t="s">
        <v>526</v>
      </c>
      <c r="F263" s="183"/>
      <c r="G263" s="183"/>
      <c r="H263" s="24">
        <f>SUM(H264:H265)</f>
        <v>1289235.75</v>
      </c>
      <c r="I263" s="24">
        <f>SUM(I264:I265)</f>
        <v>1032467.8</v>
      </c>
      <c r="J263" s="24">
        <f>SUM(J264:J265)</f>
        <v>1032467.8</v>
      </c>
      <c r="K263" s="212"/>
    </row>
    <row r="264" spans="1:11" s="173" customFormat="1" ht="60" x14ac:dyDescent="0.2">
      <c r="A264" s="72" t="s">
        <v>169</v>
      </c>
      <c r="B264" s="180" t="s">
        <v>0</v>
      </c>
      <c r="C264" s="190" t="s">
        <v>232</v>
      </c>
      <c r="D264" s="190" t="s">
        <v>215</v>
      </c>
      <c r="E264" s="190" t="s">
        <v>526</v>
      </c>
      <c r="F264" s="183" t="s">
        <v>178</v>
      </c>
      <c r="G264" s="183" t="s">
        <v>315</v>
      </c>
      <c r="H264" s="24">
        <f>982181.8+2.2+110175.57+96339+50251.18</f>
        <v>1238949.75</v>
      </c>
      <c r="I264" s="24">
        <v>982181.8</v>
      </c>
      <c r="J264" s="24">
        <v>982181.8</v>
      </c>
      <c r="K264" s="212"/>
    </row>
    <row r="265" spans="1:11" s="173" customFormat="1" ht="30" x14ac:dyDescent="0.2">
      <c r="A265" s="72" t="s">
        <v>170</v>
      </c>
      <c r="B265" s="180" t="s">
        <v>0</v>
      </c>
      <c r="C265" s="190" t="s">
        <v>232</v>
      </c>
      <c r="D265" s="190" t="s">
        <v>215</v>
      </c>
      <c r="E265" s="190" t="s">
        <v>526</v>
      </c>
      <c r="F265" s="183" t="s">
        <v>181</v>
      </c>
      <c r="G265" s="183" t="s">
        <v>315</v>
      </c>
      <c r="H265" s="24">
        <v>50286</v>
      </c>
      <c r="I265" s="24">
        <v>50286</v>
      </c>
      <c r="J265" s="24">
        <v>50286</v>
      </c>
      <c r="K265" s="212"/>
    </row>
    <row r="266" spans="1:11" s="173" customFormat="1" ht="15.75" x14ac:dyDescent="0.25">
      <c r="A266" s="82" t="s">
        <v>266</v>
      </c>
      <c r="B266" s="179" t="s">
        <v>0</v>
      </c>
      <c r="C266" s="191" t="s">
        <v>219</v>
      </c>
      <c r="D266" s="191"/>
      <c r="E266" s="191"/>
      <c r="F266" s="192"/>
      <c r="G266" s="192"/>
      <c r="H266" s="193">
        <f>H267</f>
        <v>34525153.149999999</v>
      </c>
      <c r="I266" s="193">
        <f>I267</f>
        <v>0</v>
      </c>
      <c r="J266" s="193">
        <f>J267</f>
        <v>0</v>
      </c>
      <c r="K266" s="277"/>
    </row>
    <row r="267" spans="1:11" s="173" customFormat="1" ht="15.75" x14ac:dyDescent="0.25">
      <c r="A267" s="82" t="s">
        <v>267</v>
      </c>
      <c r="B267" s="179" t="s">
        <v>0</v>
      </c>
      <c r="C267" s="191" t="s">
        <v>219</v>
      </c>
      <c r="D267" s="191" t="s">
        <v>197</v>
      </c>
      <c r="E267" s="191"/>
      <c r="F267" s="192"/>
      <c r="G267" s="192"/>
      <c r="H267" s="193">
        <f>H272+H268</f>
        <v>34525153.149999999</v>
      </c>
      <c r="I267" s="193">
        <f>I272+I268</f>
        <v>0</v>
      </c>
      <c r="J267" s="193">
        <f>J272+J268</f>
        <v>0</v>
      </c>
      <c r="K267" s="277"/>
    </row>
    <row r="268" spans="1:11" s="173" customFormat="1" ht="31.5" x14ac:dyDescent="0.25">
      <c r="A268" s="82" t="s">
        <v>188</v>
      </c>
      <c r="B268" s="179" t="s">
        <v>0</v>
      </c>
      <c r="C268" s="191" t="s">
        <v>219</v>
      </c>
      <c r="D268" s="191" t="s">
        <v>197</v>
      </c>
      <c r="E268" s="191" t="s">
        <v>481</v>
      </c>
      <c r="F268" s="192"/>
      <c r="G268" s="192"/>
      <c r="H268" s="193">
        <f t="shared" ref="H268:J269" si="23">H269</f>
        <v>3018346.39</v>
      </c>
      <c r="I268" s="193">
        <f t="shared" si="23"/>
        <v>0</v>
      </c>
      <c r="J268" s="193">
        <f t="shared" si="23"/>
        <v>0</v>
      </c>
      <c r="K268" s="277"/>
    </row>
    <row r="269" spans="1:11" s="173" customFormat="1" ht="15.75" x14ac:dyDescent="0.2">
      <c r="A269" s="216" t="s">
        <v>474</v>
      </c>
      <c r="B269" s="179" t="s">
        <v>0</v>
      </c>
      <c r="C269" s="191" t="s">
        <v>219</v>
      </c>
      <c r="D269" s="191" t="s">
        <v>197</v>
      </c>
      <c r="E269" s="191" t="s">
        <v>483</v>
      </c>
      <c r="F269" s="192"/>
      <c r="G269" s="192"/>
      <c r="H269" s="193">
        <f t="shared" si="23"/>
        <v>3018346.39</v>
      </c>
      <c r="I269" s="193">
        <f t="shared" si="23"/>
        <v>0</v>
      </c>
      <c r="J269" s="193">
        <f t="shared" si="23"/>
        <v>0</v>
      </c>
      <c r="K269" s="277"/>
    </row>
    <row r="270" spans="1:11" s="173" customFormat="1" ht="30" x14ac:dyDescent="0.2">
      <c r="A270" s="72" t="s">
        <v>226</v>
      </c>
      <c r="B270" s="180" t="s">
        <v>0</v>
      </c>
      <c r="C270" s="190" t="s">
        <v>219</v>
      </c>
      <c r="D270" s="190" t="s">
        <v>197</v>
      </c>
      <c r="E270" s="190" t="s">
        <v>676</v>
      </c>
      <c r="F270" s="183"/>
      <c r="G270" s="183"/>
      <c r="H270" s="24">
        <f>H271</f>
        <v>3018346.39</v>
      </c>
      <c r="I270" s="24">
        <f>I1863</f>
        <v>0</v>
      </c>
      <c r="J270" s="24">
        <f>J1863</f>
        <v>0</v>
      </c>
      <c r="K270" s="212"/>
    </row>
    <row r="271" spans="1:11" s="173" customFormat="1" ht="60" x14ac:dyDescent="0.2">
      <c r="A271" s="72" t="s">
        <v>169</v>
      </c>
      <c r="B271" s="180" t="s">
        <v>0</v>
      </c>
      <c r="C271" s="190" t="s">
        <v>219</v>
      </c>
      <c r="D271" s="190" t="s">
        <v>197</v>
      </c>
      <c r="E271" s="190" t="s">
        <v>676</v>
      </c>
      <c r="F271" s="183" t="s">
        <v>178</v>
      </c>
      <c r="G271" s="183" t="s">
        <v>315</v>
      </c>
      <c r="H271" s="24">
        <f>2596283+26036.69+396026.7</f>
        <v>3018346.39</v>
      </c>
      <c r="I271" s="24">
        <v>0</v>
      </c>
      <c r="J271" s="24">
        <v>0</v>
      </c>
      <c r="K271" s="212"/>
    </row>
    <row r="272" spans="1:11" s="173" customFormat="1" ht="15.75" x14ac:dyDescent="0.2">
      <c r="A272" s="204" t="s">
        <v>200</v>
      </c>
      <c r="B272" s="179" t="s">
        <v>0</v>
      </c>
      <c r="C272" s="191" t="s">
        <v>219</v>
      </c>
      <c r="D272" s="191" t="s">
        <v>197</v>
      </c>
      <c r="E272" s="83" t="s">
        <v>201</v>
      </c>
      <c r="F272" s="192"/>
      <c r="G272" s="192"/>
      <c r="H272" s="193">
        <f t="shared" ref="H272:J273" si="24">H273</f>
        <v>31506806.760000002</v>
      </c>
      <c r="I272" s="193">
        <f t="shared" si="24"/>
        <v>0</v>
      </c>
      <c r="J272" s="193">
        <f t="shared" si="24"/>
        <v>0</v>
      </c>
      <c r="K272" s="277"/>
    </row>
    <row r="273" spans="1:11" s="185" customFormat="1" ht="15.75" x14ac:dyDescent="0.25">
      <c r="A273" s="72" t="s">
        <v>220</v>
      </c>
      <c r="B273" s="180" t="s">
        <v>0</v>
      </c>
      <c r="C273" s="190" t="s">
        <v>219</v>
      </c>
      <c r="D273" s="190" t="s">
        <v>197</v>
      </c>
      <c r="E273" s="143" t="s">
        <v>221</v>
      </c>
      <c r="F273" s="192"/>
      <c r="G273" s="192"/>
      <c r="H273" s="24">
        <f t="shared" si="24"/>
        <v>31506806.760000002</v>
      </c>
      <c r="I273" s="24">
        <f t="shared" si="24"/>
        <v>0</v>
      </c>
      <c r="J273" s="24">
        <f t="shared" si="24"/>
        <v>0</v>
      </c>
      <c r="K273" s="212"/>
    </row>
    <row r="274" spans="1:11" s="185" customFormat="1" ht="15.75" x14ac:dyDescent="0.25">
      <c r="A274" s="208" t="s">
        <v>268</v>
      </c>
      <c r="B274" s="180" t="s">
        <v>0</v>
      </c>
      <c r="C274" s="190" t="s">
        <v>219</v>
      </c>
      <c r="D274" s="190" t="s">
        <v>197</v>
      </c>
      <c r="E274" s="188" t="s">
        <v>269</v>
      </c>
      <c r="F274" s="183"/>
      <c r="G274" s="183"/>
      <c r="H274" s="24">
        <f>H275+H276</f>
        <v>31506806.760000002</v>
      </c>
      <c r="I274" s="24">
        <f>I275+I276</f>
        <v>0</v>
      </c>
      <c r="J274" s="24">
        <f>J275+J276</f>
        <v>0</v>
      </c>
      <c r="K274" s="212"/>
    </row>
    <row r="275" spans="1:11" s="173" customFormat="1" ht="30" x14ac:dyDescent="0.2">
      <c r="A275" s="72" t="s">
        <v>170</v>
      </c>
      <c r="B275" s="180" t="s">
        <v>0</v>
      </c>
      <c r="C275" s="190" t="s">
        <v>219</v>
      </c>
      <c r="D275" s="190" t="s">
        <v>197</v>
      </c>
      <c r="E275" s="188" t="s">
        <v>269</v>
      </c>
      <c r="F275" s="183" t="s">
        <v>181</v>
      </c>
      <c r="G275" s="183" t="s">
        <v>306</v>
      </c>
      <c r="H275" s="24">
        <v>500000</v>
      </c>
      <c r="I275" s="24">
        <v>0</v>
      </c>
      <c r="J275" s="25">
        <v>0</v>
      </c>
      <c r="K275" s="213"/>
    </row>
    <row r="276" spans="1:11" s="173" customFormat="1" ht="30" x14ac:dyDescent="0.2">
      <c r="A276" s="72" t="s">
        <v>170</v>
      </c>
      <c r="B276" s="180" t="s">
        <v>0</v>
      </c>
      <c r="C276" s="190" t="s">
        <v>219</v>
      </c>
      <c r="D276" s="190" t="s">
        <v>197</v>
      </c>
      <c r="E276" s="188" t="s">
        <v>269</v>
      </c>
      <c r="F276" s="183" t="s">
        <v>181</v>
      </c>
      <c r="G276" s="183" t="s">
        <v>315</v>
      </c>
      <c r="H276" s="24">
        <v>31006806.760000002</v>
      </c>
      <c r="I276" s="24">
        <v>0</v>
      </c>
      <c r="J276" s="25">
        <v>0</v>
      </c>
      <c r="K276" s="213"/>
    </row>
    <row r="277" spans="1:11" s="202" customFormat="1" ht="47.25" x14ac:dyDescent="0.2">
      <c r="A277" s="120" t="s">
        <v>270</v>
      </c>
      <c r="B277" s="209" t="s">
        <v>0</v>
      </c>
      <c r="C277" s="160" t="s">
        <v>271</v>
      </c>
      <c r="D277" s="160"/>
      <c r="E277" s="160"/>
      <c r="F277" s="161"/>
      <c r="G277" s="190"/>
      <c r="H277" s="24">
        <f>H278+H283+H288</f>
        <v>398875843.08000004</v>
      </c>
      <c r="I277" s="24">
        <f>I278+I283+I288</f>
        <v>220284900</v>
      </c>
      <c r="J277" s="24">
        <f>J278+J283+J288</f>
        <v>212358210</v>
      </c>
      <c r="K277" s="212"/>
    </row>
    <row r="278" spans="1:11" s="202" customFormat="1" ht="47.25" x14ac:dyDescent="0.2">
      <c r="A278" s="123" t="s">
        <v>313</v>
      </c>
      <c r="B278" s="209" t="s">
        <v>0</v>
      </c>
      <c r="C278" s="160" t="s">
        <v>271</v>
      </c>
      <c r="D278" s="160" t="s">
        <v>197</v>
      </c>
      <c r="E278" s="160"/>
      <c r="F278" s="161"/>
      <c r="G278" s="190"/>
      <c r="H278" s="24">
        <f t="shared" ref="H278:J281" si="25">H279</f>
        <v>296760900</v>
      </c>
      <c r="I278" s="24">
        <f t="shared" si="25"/>
        <v>220284900</v>
      </c>
      <c r="J278" s="24">
        <f t="shared" si="25"/>
        <v>212358210</v>
      </c>
      <c r="K278" s="212"/>
    </row>
    <row r="279" spans="1:11" s="202" customFormat="1" ht="15.75" x14ac:dyDescent="0.25">
      <c r="A279" s="82" t="s">
        <v>200</v>
      </c>
      <c r="B279" s="209" t="s">
        <v>0</v>
      </c>
      <c r="C279" s="160" t="s">
        <v>271</v>
      </c>
      <c r="D279" s="160" t="s">
        <v>197</v>
      </c>
      <c r="E279" s="160" t="s">
        <v>201</v>
      </c>
      <c r="F279" s="161"/>
      <c r="G279" s="190"/>
      <c r="H279" s="24">
        <f t="shared" si="25"/>
        <v>296760900</v>
      </c>
      <c r="I279" s="24">
        <f t="shared" si="25"/>
        <v>220284900</v>
      </c>
      <c r="J279" s="24">
        <f t="shared" si="25"/>
        <v>212358210</v>
      </c>
      <c r="K279" s="212"/>
    </row>
    <row r="280" spans="1:11" s="202" customFormat="1" x14ac:dyDescent="0.2">
      <c r="A280" s="72" t="s">
        <v>273</v>
      </c>
      <c r="B280" s="210" t="s">
        <v>0</v>
      </c>
      <c r="C280" s="163" t="s">
        <v>271</v>
      </c>
      <c r="D280" s="163" t="s">
        <v>197</v>
      </c>
      <c r="E280" s="163" t="s">
        <v>274</v>
      </c>
      <c r="F280" s="164"/>
      <c r="G280" s="190"/>
      <c r="H280" s="24">
        <f t="shared" si="25"/>
        <v>296760900</v>
      </c>
      <c r="I280" s="24">
        <f t="shared" si="25"/>
        <v>220284900</v>
      </c>
      <c r="J280" s="219">
        <f t="shared" si="25"/>
        <v>212358210</v>
      </c>
      <c r="K280" s="212"/>
    </row>
    <row r="281" spans="1:11" s="202" customFormat="1" ht="45" x14ac:dyDescent="0.2">
      <c r="A281" s="211" t="s">
        <v>473</v>
      </c>
      <c r="B281" s="210" t="s">
        <v>0</v>
      </c>
      <c r="C281" s="163" t="s">
        <v>271</v>
      </c>
      <c r="D281" s="163" t="s">
        <v>197</v>
      </c>
      <c r="E281" s="163" t="s">
        <v>314</v>
      </c>
      <c r="F281" s="164"/>
      <c r="G281" s="190"/>
      <c r="H281" s="24">
        <f t="shared" si="25"/>
        <v>296760900</v>
      </c>
      <c r="I281" s="282">
        <f t="shared" si="25"/>
        <v>220284900</v>
      </c>
      <c r="J281" s="24">
        <f t="shared" si="25"/>
        <v>212358210</v>
      </c>
      <c r="K281" s="212"/>
    </row>
    <row r="282" spans="1:11" s="202" customFormat="1" ht="16.5" customHeight="1" x14ac:dyDescent="0.2">
      <c r="A282" s="162" t="s">
        <v>273</v>
      </c>
      <c r="B282" s="210" t="s">
        <v>0</v>
      </c>
      <c r="C282" s="163" t="s">
        <v>271</v>
      </c>
      <c r="D282" s="163" t="s">
        <v>197</v>
      </c>
      <c r="E282" s="163" t="s">
        <v>314</v>
      </c>
      <c r="F282" s="163" t="s">
        <v>277</v>
      </c>
      <c r="G282" s="190" t="s">
        <v>315</v>
      </c>
      <c r="H282" s="30">
        <v>296760900</v>
      </c>
      <c r="I282" s="30">
        <v>220284900</v>
      </c>
      <c r="J282" s="30">
        <v>212358210</v>
      </c>
      <c r="K282" s="279"/>
    </row>
    <row r="283" spans="1:11" s="322" customFormat="1" ht="16.5" customHeight="1" x14ac:dyDescent="0.25">
      <c r="A283" s="194" t="s">
        <v>638</v>
      </c>
      <c r="B283" s="209" t="s">
        <v>0</v>
      </c>
      <c r="C283" s="160" t="s">
        <v>271</v>
      </c>
      <c r="D283" s="191" t="s">
        <v>199</v>
      </c>
      <c r="E283" s="160"/>
      <c r="F283" s="160"/>
      <c r="G283" s="191"/>
      <c r="H283" s="336">
        <f t="shared" ref="H283:J286" si="26">H284</f>
        <v>12941047.42</v>
      </c>
      <c r="I283" s="336">
        <f t="shared" si="26"/>
        <v>0</v>
      </c>
      <c r="J283" s="336">
        <f t="shared" si="26"/>
        <v>0</v>
      </c>
      <c r="K283" s="321"/>
    </row>
    <row r="284" spans="1:11" s="322" customFormat="1" ht="15.75" x14ac:dyDescent="0.25">
      <c r="A284" s="82" t="s">
        <v>200</v>
      </c>
      <c r="B284" s="209" t="s">
        <v>0</v>
      </c>
      <c r="C284" s="160" t="s">
        <v>271</v>
      </c>
      <c r="D284" s="191" t="s">
        <v>199</v>
      </c>
      <c r="E284" s="160" t="s">
        <v>201</v>
      </c>
      <c r="F284" s="160"/>
      <c r="G284" s="191"/>
      <c r="H284" s="336">
        <f t="shared" si="26"/>
        <v>12941047.42</v>
      </c>
      <c r="I284" s="336">
        <f t="shared" si="26"/>
        <v>0</v>
      </c>
      <c r="J284" s="336">
        <f t="shared" si="26"/>
        <v>0</v>
      </c>
      <c r="K284" s="321"/>
    </row>
    <row r="285" spans="1:11" s="202" customFormat="1" x14ac:dyDescent="0.2">
      <c r="A285" s="72" t="s">
        <v>273</v>
      </c>
      <c r="B285" s="210" t="s">
        <v>0</v>
      </c>
      <c r="C285" s="163" t="s">
        <v>271</v>
      </c>
      <c r="D285" s="190" t="s">
        <v>199</v>
      </c>
      <c r="E285" s="163" t="s">
        <v>274</v>
      </c>
      <c r="F285" s="190"/>
      <c r="G285" s="190"/>
      <c r="H285" s="24">
        <f t="shared" si="26"/>
        <v>12941047.42</v>
      </c>
      <c r="I285" s="24">
        <f t="shared" si="26"/>
        <v>0</v>
      </c>
      <c r="J285" s="24">
        <f t="shared" si="26"/>
        <v>0</v>
      </c>
      <c r="K285" s="213"/>
    </row>
    <row r="286" spans="1:11" s="202" customFormat="1" ht="30" x14ac:dyDescent="0.2">
      <c r="A286" s="72" t="s">
        <v>640</v>
      </c>
      <c r="B286" s="210" t="s">
        <v>0</v>
      </c>
      <c r="C286" s="163" t="s">
        <v>271</v>
      </c>
      <c r="D286" s="190" t="s">
        <v>199</v>
      </c>
      <c r="E286" s="188" t="s">
        <v>639</v>
      </c>
      <c r="F286" s="190"/>
      <c r="G286" s="190"/>
      <c r="H286" s="24">
        <f t="shared" si="26"/>
        <v>12941047.42</v>
      </c>
      <c r="I286" s="24">
        <f t="shared" si="26"/>
        <v>0</v>
      </c>
      <c r="J286" s="24">
        <f t="shared" si="26"/>
        <v>0</v>
      </c>
      <c r="K286" s="213"/>
    </row>
    <row r="287" spans="1:11" s="202" customFormat="1" x14ac:dyDescent="0.2">
      <c r="A287" s="162" t="s">
        <v>273</v>
      </c>
      <c r="B287" s="210" t="s">
        <v>0</v>
      </c>
      <c r="C287" s="163" t="s">
        <v>271</v>
      </c>
      <c r="D287" s="190" t="s">
        <v>199</v>
      </c>
      <c r="E287" s="188" t="s">
        <v>639</v>
      </c>
      <c r="F287" s="190" t="s">
        <v>277</v>
      </c>
      <c r="G287" s="190" t="s">
        <v>315</v>
      </c>
      <c r="H287" s="24">
        <f>3994900+1815590+581000+400557.42+3409000+212000+2528000</f>
        <v>12941047.42</v>
      </c>
      <c r="I287" s="24">
        <v>0</v>
      </c>
      <c r="J287" s="25">
        <v>0</v>
      </c>
      <c r="K287" s="213"/>
    </row>
    <row r="288" spans="1:11" s="202" customFormat="1" ht="15.75" x14ac:dyDescent="0.25">
      <c r="A288" s="123" t="s">
        <v>272</v>
      </c>
      <c r="B288" s="210" t="s">
        <v>0</v>
      </c>
      <c r="C288" s="118" t="s">
        <v>271</v>
      </c>
      <c r="D288" s="118" t="s">
        <v>207</v>
      </c>
      <c r="E288" s="118"/>
      <c r="F288" s="118"/>
      <c r="G288" s="190"/>
      <c r="H288" s="24">
        <f t="shared" ref="H288:J291" si="27">H289</f>
        <v>89173895.659999996</v>
      </c>
      <c r="I288" s="24">
        <f t="shared" si="27"/>
        <v>0</v>
      </c>
      <c r="J288" s="24">
        <f t="shared" si="27"/>
        <v>0</v>
      </c>
      <c r="K288" s="213"/>
    </row>
    <row r="289" spans="1:11" s="202" customFormat="1" ht="15.75" x14ac:dyDescent="0.25">
      <c r="A289" s="82" t="s">
        <v>200</v>
      </c>
      <c r="B289" s="210" t="s">
        <v>0</v>
      </c>
      <c r="C289" s="118" t="s">
        <v>271</v>
      </c>
      <c r="D289" s="118" t="s">
        <v>207</v>
      </c>
      <c r="E289" s="118" t="s">
        <v>201</v>
      </c>
      <c r="F289" s="118"/>
      <c r="G289" s="190"/>
      <c r="H289" s="24">
        <f t="shared" si="27"/>
        <v>89173895.659999996</v>
      </c>
      <c r="I289" s="24">
        <f t="shared" si="27"/>
        <v>0</v>
      </c>
      <c r="J289" s="24">
        <f t="shared" si="27"/>
        <v>0</v>
      </c>
      <c r="K289" s="213"/>
    </row>
    <row r="290" spans="1:11" s="202" customFormat="1" x14ac:dyDescent="0.2">
      <c r="A290" s="72" t="s">
        <v>273</v>
      </c>
      <c r="B290" s="210" t="s">
        <v>0</v>
      </c>
      <c r="C290" s="124" t="s">
        <v>271</v>
      </c>
      <c r="D290" s="124" t="s">
        <v>207</v>
      </c>
      <c r="E290" s="124" t="s">
        <v>274</v>
      </c>
      <c r="F290" s="124"/>
      <c r="G290" s="190"/>
      <c r="H290" s="24">
        <f t="shared" si="27"/>
        <v>89173895.659999996</v>
      </c>
      <c r="I290" s="24">
        <f t="shared" si="27"/>
        <v>0</v>
      </c>
      <c r="J290" s="24">
        <f t="shared" si="27"/>
        <v>0</v>
      </c>
      <c r="K290" s="213"/>
    </row>
    <row r="291" spans="1:11" s="202" customFormat="1" ht="30" x14ac:dyDescent="0.2">
      <c r="A291" s="371" t="s">
        <v>278</v>
      </c>
      <c r="B291" s="210" t="s">
        <v>0</v>
      </c>
      <c r="C291" s="124" t="s">
        <v>271</v>
      </c>
      <c r="D291" s="124" t="s">
        <v>207</v>
      </c>
      <c r="E291" s="127">
        <v>9960088520</v>
      </c>
      <c r="F291" s="127"/>
      <c r="G291" s="190"/>
      <c r="H291" s="24">
        <f t="shared" si="27"/>
        <v>89173895.659999996</v>
      </c>
      <c r="I291" s="24">
        <f t="shared" si="27"/>
        <v>0</v>
      </c>
      <c r="J291" s="24">
        <f t="shared" si="27"/>
        <v>0</v>
      </c>
      <c r="K291" s="213"/>
    </row>
    <row r="292" spans="1:11" s="202" customFormat="1" x14ac:dyDescent="0.2">
      <c r="A292" s="125" t="s">
        <v>273</v>
      </c>
      <c r="B292" s="210" t="s">
        <v>0</v>
      </c>
      <c r="C292" s="124" t="s">
        <v>271</v>
      </c>
      <c r="D292" s="124" t="s">
        <v>207</v>
      </c>
      <c r="E292" s="127">
        <v>9960088520</v>
      </c>
      <c r="F292" s="127">
        <v>500</v>
      </c>
      <c r="G292" s="190" t="s">
        <v>315</v>
      </c>
      <c r="H292" s="24">
        <v>89173895.659999996</v>
      </c>
      <c r="I292" s="24">
        <v>0</v>
      </c>
      <c r="J292" s="25">
        <v>0</v>
      </c>
      <c r="K292" s="213"/>
    </row>
    <row r="294" spans="1:11" x14ac:dyDescent="0.25">
      <c r="A294" s="2" t="s">
        <v>316</v>
      </c>
    </row>
  </sheetData>
  <autoFilter ref="A13:J292"/>
  <mergeCells count="1">
    <mergeCell ref="A10:J10"/>
  </mergeCells>
  <conditionalFormatting sqref="A170:A171">
    <cfRule type="expression" dxfId="6" priority="7">
      <formula>#REF!&lt;&gt;"Актуальная"</formula>
    </cfRule>
  </conditionalFormatting>
  <conditionalFormatting sqref="A101">
    <cfRule type="expression" dxfId="5" priority="6">
      <formula>#REF!&lt;&gt;"Актуальная"</formula>
    </cfRule>
  </conditionalFormatting>
  <conditionalFormatting sqref="A186:A187">
    <cfRule type="expression" dxfId="4" priority="5">
      <formula>#REF!&lt;&gt;"Актуальная"</formula>
    </cfRule>
  </conditionalFormatting>
  <conditionalFormatting sqref="A134:A135">
    <cfRule type="expression" dxfId="3" priority="4">
      <formula>#REF!&lt;&gt;"Актуальная"</formula>
    </cfRule>
  </conditionalFormatting>
  <conditionalFormatting sqref="A176">
    <cfRule type="expression" dxfId="2" priority="3">
      <formula>#REF!&lt;&gt;"Актуальная"</formula>
    </cfRule>
  </conditionalFormatting>
  <conditionalFormatting sqref="A202">
    <cfRule type="expression" dxfId="1" priority="2">
      <formula>#REF!&lt;&gt;"Актуальная"</formula>
    </cfRule>
  </conditionalFormatting>
  <conditionalFormatting sqref="A209">
    <cfRule type="expression" dxfId="0" priority="1">
      <formula>#REF!&lt;&gt;"Актуальная"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zoomScaleNormal="100" workbookViewId="0">
      <selection activeCell="C7" sqref="C7:D8"/>
    </sheetView>
  </sheetViews>
  <sheetFormatPr defaultRowHeight="15" x14ac:dyDescent="0.25"/>
  <cols>
    <col min="1" max="1" width="10.42578125" style="40" customWidth="1"/>
    <col min="2" max="2" width="67" style="40" customWidth="1"/>
    <col min="3" max="3" width="20.140625" style="224" customWidth="1"/>
    <col min="4" max="4" width="17.5703125" style="224" customWidth="1"/>
    <col min="5" max="5" width="17.28515625" style="224" bestFit="1" customWidth="1"/>
    <col min="6" max="6" width="16.7109375" customWidth="1"/>
  </cols>
  <sheetData>
    <row r="2" spans="1:5" ht="18.75" x14ac:dyDescent="0.3">
      <c r="B2" s="42"/>
      <c r="C2" s="223" t="s">
        <v>279</v>
      </c>
    </row>
    <row r="3" spans="1:5" ht="18.75" x14ac:dyDescent="0.3">
      <c r="B3" s="42"/>
      <c r="C3" s="223" t="s">
        <v>192</v>
      </c>
    </row>
    <row r="4" spans="1:5" ht="18.75" x14ac:dyDescent="0.3">
      <c r="B4" s="42"/>
      <c r="C4" s="223" t="s">
        <v>17</v>
      </c>
    </row>
    <row r="5" spans="1:5" ht="18.75" x14ac:dyDescent="0.3">
      <c r="B5" s="42"/>
      <c r="C5" s="223" t="s">
        <v>18</v>
      </c>
    </row>
    <row r="6" spans="1:5" ht="18.75" x14ac:dyDescent="0.3">
      <c r="B6" s="42"/>
      <c r="C6" s="223" t="s">
        <v>19</v>
      </c>
    </row>
    <row r="7" spans="1:5" ht="18.75" x14ac:dyDescent="0.3">
      <c r="B7" s="42"/>
      <c r="C7" s="223" t="s">
        <v>699</v>
      </c>
    </row>
    <row r="8" spans="1:5" ht="18.75" x14ac:dyDescent="0.3">
      <c r="C8" s="223" t="s">
        <v>700</v>
      </c>
    </row>
    <row r="10" spans="1:5" ht="46.5" customHeight="1" x14ac:dyDescent="0.25">
      <c r="A10" s="391" t="s">
        <v>435</v>
      </c>
      <c r="B10" s="391"/>
      <c r="C10" s="391"/>
      <c r="D10" s="391"/>
      <c r="E10" s="391"/>
    </row>
    <row r="11" spans="1:5" x14ac:dyDescent="0.25">
      <c r="E11" s="225" t="s">
        <v>334</v>
      </c>
    </row>
    <row r="12" spans="1:5" ht="30" x14ac:dyDescent="0.25">
      <c r="A12" s="51" t="s">
        <v>335</v>
      </c>
      <c r="B12" s="51" t="s">
        <v>336</v>
      </c>
      <c r="C12" s="226" t="s">
        <v>22</v>
      </c>
      <c r="D12" s="226" t="s">
        <v>152</v>
      </c>
      <c r="E12" s="226" t="s">
        <v>434</v>
      </c>
    </row>
    <row r="13" spans="1:5" ht="31.5" x14ac:dyDescent="0.25">
      <c r="A13" s="227">
        <v>1</v>
      </c>
      <c r="B13" s="228" t="s">
        <v>337</v>
      </c>
      <c r="C13" s="324">
        <f>SUM(C14:C24)</f>
        <v>296760900</v>
      </c>
      <c r="D13" s="324">
        <v>220284900</v>
      </c>
      <c r="E13" s="324">
        <v>212358210</v>
      </c>
    </row>
    <row r="14" spans="1:5" ht="15.75" x14ac:dyDescent="0.25">
      <c r="A14" s="230" t="s">
        <v>338</v>
      </c>
      <c r="B14" s="231" t="s">
        <v>339</v>
      </c>
      <c r="C14" s="232">
        <v>50124210</v>
      </c>
      <c r="D14" s="233"/>
      <c r="E14" s="233"/>
    </row>
    <row r="15" spans="1:5" ht="15.75" x14ac:dyDescent="0.25">
      <c r="A15" s="230" t="s">
        <v>340</v>
      </c>
      <c r="B15" s="231" t="s">
        <v>341</v>
      </c>
      <c r="C15" s="232">
        <v>26857350</v>
      </c>
      <c r="D15" s="233"/>
      <c r="E15" s="233"/>
    </row>
    <row r="16" spans="1:5" ht="15.75" x14ac:dyDescent="0.25">
      <c r="A16" s="230" t="s">
        <v>342</v>
      </c>
      <c r="B16" s="231" t="s">
        <v>343</v>
      </c>
      <c r="C16" s="232">
        <v>33710590</v>
      </c>
      <c r="D16" s="233"/>
      <c r="E16" s="233"/>
    </row>
    <row r="17" spans="1:5" ht="15.75" x14ac:dyDescent="0.25">
      <c r="A17" s="230" t="s">
        <v>344</v>
      </c>
      <c r="B17" s="231" t="s">
        <v>345</v>
      </c>
      <c r="C17" s="232">
        <v>23069390</v>
      </c>
      <c r="D17" s="233"/>
      <c r="E17" s="233"/>
    </row>
    <row r="18" spans="1:5" ht="15.75" x14ac:dyDescent="0.25">
      <c r="A18" s="230" t="s">
        <v>346</v>
      </c>
      <c r="B18" s="231" t="s">
        <v>347</v>
      </c>
      <c r="C18" s="232">
        <v>23793860</v>
      </c>
      <c r="D18" s="233"/>
      <c r="E18" s="233"/>
    </row>
    <row r="19" spans="1:5" ht="15.75" x14ac:dyDescent="0.25">
      <c r="A19" s="230" t="s">
        <v>348</v>
      </c>
      <c r="B19" s="231" t="s">
        <v>349</v>
      </c>
      <c r="C19" s="232">
        <v>18940960</v>
      </c>
      <c r="D19" s="233"/>
      <c r="E19" s="233"/>
    </row>
    <row r="20" spans="1:5" ht="15.75" x14ac:dyDescent="0.25">
      <c r="A20" s="230" t="s">
        <v>350</v>
      </c>
      <c r="B20" s="231" t="s">
        <v>351</v>
      </c>
      <c r="C20" s="232">
        <v>35049880</v>
      </c>
      <c r="D20" s="233"/>
      <c r="E20" s="233"/>
    </row>
    <row r="21" spans="1:5" ht="15.75" x14ac:dyDescent="0.25">
      <c r="A21" s="230" t="s">
        <v>352</v>
      </c>
      <c r="B21" s="231" t="s">
        <v>353</v>
      </c>
      <c r="C21" s="232">
        <v>26345590</v>
      </c>
      <c r="D21" s="233"/>
      <c r="E21" s="233"/>
    </row>
    <row r="22" spans="1:5" ht="15.75" x14ac:dyDescent="0.25">
      <c r="A22" s="230" t="s">
        <v>354</v>
      </c>
      <c r="B22" s="231" t="s">
        <v>355</v>
      </c>
      <c r="C22" s="232">
        <v>25720320</v>
      </c>
      <c r="D22" s="233"/>
      <c r="E22" s="233"/>
    </row>
    <row r="23" spans="1:5" ht="15.75" x14ac:dyDescent="0.25">
      <c r="A23" s="230" t="s">
        <v>356</v>
      </c>
      <c r="B23" s="231" t="s">
        <v>357</v>
      </c>
      <c r="C23" s="232">
        <v>16569990</v>
      </c>
      <c r="D23" s="233"/>
      <c r="E23" s="233"/>
    </row>
    <row r="24" spans="1:5" ht="15.75" x14ac:dyDescent="0.25">
      <c r="A24" s="230" t="s">
        <v>358</v>
      </c>
      <c r="B24" s="231" t="s">
        <v>359</v>
      </c>
      <c r="C24" s="232">
        <v>16578760</v>
      </c>
      <c r="D24" s="233"/>
      <c r="E24" s="233"/>
    </row>
    <row r="25" spans="1:5" s="323" customFormat="1" ht="15.75" x14ac:dyDescent="0.25">
      <c r="A25" s="234" t="s">
        <v>472</v>
      </c>
      <c r="B25" s="228" t="s">
        <v>638</v>
      </c>
      <c r="C25" s="235">
        <f>SUM(C26:C36)</f>
        <v>12941047.42</v>
      </c>
      <c r="D25" s="241"/>
      <c r="E25" s="241"/>
    </row>
    <row r="26" spans="1:5" ht="15.75" x14ac:dyDescent="0.25">
      <c r="A26" s="230" t="s">
        <v>360</v>
      </c>
      <c r="B26" s="231" t="s">
        <v>339</v>
      </c>
      <c r="C26" s="233">
        <f>1210178+112085.89+338972.13+457000+115587.03+645231.68+999.58+879510.46</f>
        <v>3759564.77</v>
      </c>
      <c r="D26" s="233"/>
      <c r="E26" s="233"/>
    </row>
    <row r="27" spans="1:5" ht="15.75" x14ac:dyDescent="0.25">
      <c r="A27" s="230" t="s">
        <v>641</v>
      </c>
      <c r="B27" s="231" t="s">
        <v>341</v>
      </c>
      <c r="C27" s="233">
        <f>338431+44834.35+176741.93+51281.26+310576.55+800.86+401538.12</f>
        <v>1324204.07</v>
      </c>
      <c r="D27" s="233"/>
      <c r="E27" s="233"/>
    </row>
    <row r="28" spans="1:5" ht="15.75" x14ac:dyDescent="0.25">
      <c r="A28" s="230" t="s">
        <v>642</v>
      </c>
      <c r="B28" s="231" t="s">
        <v>343</v>
      </c>
      <c r="C28" s="233">
        <f>399323+44834.35+152534.03+17500+27879.43+315643.93+206953.82+208049.69</f>
        <v>1372718.25</v>
      </c>
      <c r="D28" s="233"/>
      <c r="E28" s="233"/>
    </row>
    <row r="29" spans="1:5" ht="15.75" x14ac:dyDescent="0.25">
      <c r="A29" s="230" t="s">
        <v>643</v>
      </c>
      <c r="B29" s="231" t="s">
        <v>345</v>
      </c>
      <c r="C29" s="233">
        <f>270742+68431.07+20000+33170.2+182369.27+478.91+272852.73</f>
        <v>848044.18</v>
      </c>
      <c r="D29" s="233"/>
      <c r="E29" s="233"/>
    </row>
    <row r="30" spans="1:5" ht="15.75" x14ac:dyDescent="0.25">
      <c r="A30" s="230" t="s">
        <v>644</v>
      </c>
      <c r="B30" s="231" t="s">
        <v>347</v>
      </c>
      <c r="C30" s="233">
        <f>122669+128841.3+8546.88+148135.13+381.23+227883.95</f>
        <v>636457.49</v>
      </c>
      <c r="D30" s="233"/>
      <c r="E30" s="233"/>
    </row>
    <row r="31" spans="1:5" ht="15.75" x14ac:dyDescent="0.25">
      <c r="A31" s="230" t="s">
        <v>645</v>
      </c>
      <c r="B31" s="231" t="s">
        <v>349</v>
      </c>
      <c r="C31" s="233">
        <f>166162+159385.91+15500+6410.16+148135.13+381.23+227883.95</f>
        <v>723858.38</v>
      </c>
      <c r="D31" s="233"/>
      <c r="E31" s="233"/>
    </row>
    <row r="32" spans="1:5" ht="15.75" x14ac:dyDescent="0.25">
      <c r="A32" s="230" t="s">
        <v>646</v>
      </c>
      <c r="B32" s="231" t="s">
        <v>351</v>
      </c>
      <c r="C32" s="233">
        <f>380314+144855.74+30900+64101.59+216637.26+713.59+320811.24</f>
        <v>1158333.42</v>
      </c>
      <c r="D32" s="233"/>
      <c r="E32" s="233"/>
    </row>
    <row r="33" spans="1:5" ht="15.75" x14ac:dyDescent="0.25">
      <c r="A33" s="230" t="s">
        <v>647</v>
      </c>
      <c r="B33" s="231" t="s">
        <v>353</v>
      </c>
      <c r="C33" s="233">
        <f>570382+130588.13+25640.64+182369.27+478.91+272852.73</f>
        <v>1182311.6800000002</v>
      </c>
      <c r="D33" s="233"/>
      <c r="E33" s="233"/>
    </row>
    <row r="34" spans="1:5" ht="15.75" x14ac:dyDescent="0.25">
      <c r="A34" s="230" t="s">
        <v>648</v>
      </c>
      <c r="B34" s="231" t="s">
        <v>355</v>
      </c>
      <c r="C34" s="233">
        <f>307647+122331.19+34187.51+148135.13+381.23+227883.95</f>
        <v>840566.01</v>
      </c>
      <c r="D34" s="233"/>
      <c r="E34" s="233"/>
    </row>
    <row r="35" spans="1:5" ht="15.75" x14ac:dyDescent="0.25">
      <c r="A35" s="230" t="s">
        <v>649</v>
      </c>
      <c r="B35" s="231" t="s">
        <v>357</v>
      </c>
      <c r="C35" s="233">
        <f>128549+109760.8+27777.36+116865.65+147.07+186818.02</f>
        <v>569917.89999999991</v>
      </c>
      <c r="D35" s="233"/>
      <c r="E35" s="233"/>
    </row>
    <row r="36" spans="1:5" ht="15.75" x14ac:dyDescent="0.25">
      <c r="A36" s="230" t="s">
        <v>650</v>
      </c>
      <c r="B36" s="231" t="s">
        <v>359</v>
      </c>
      <c r="C36" s="233">
        <f>100503+81393.18+40100+5975.36+113901+283.57+182915.16</f>
        <v>525071.27</v>
      </c>
      <c r="D36" s="233"/>
      <c r="E36" s="233"/>
    </row>
    <row r="37" spans="1:5" ht="78.75" x14ac:dyDescent="0.25">
      <c r="A37" s="234" t="s">
        <v>508</v>
      </c>
      <c r="B37" s="228" t="s">
        <v>362</v>
      </c>
      <c r="C37" s="235">
        <f>SUM(C38:C38)</f>
        <v>4916117.3499999996</v>
      </c>
      <c r="D37" s="235">
        <f>SUM(D38:D38)</f>
        <v>0</v>
      </c>
      <c r="E37" s="235">
        <f>SUM(E38:E38)</f>
        <v>0</v>
      </c>
    </row>
    <row r="38" spans="1:5" ht="15.75" x14ac:dyDescent="0.25">
      <c r="A38" s="230" t="s">
        <v>509</v>
      </c>
      <c r="B38" s="231" t="s">
        <v>339</v>
      </c>
      <c r="C38" s="232">
        <f>4916110+7.35</f>
        <v>4916117.3499999996</v>
      </c>
      <c r="D38" s="232"/>
      <c r="E38" s="232"/>
    </row>
    <row r="39" spans="1:5" ht="47.25" x14ac:dyDescent="0.25">
      <c r="A39" s="227" t="s">
        <v>361</v>
      </c>
      <c r="B39" s="228" t="s">
        <v>364</v>
      </c>
      <c r="C39" s="229">
        <f>C40+C42</f>
        <v>545565751.74000001</v>
      </c>
      <c r="D39" s="229">
        <f>D40+D42</f>
        <v>11741386.74</v>
      </c>
      <c r="E39" s="229">
        <f>E40+E42</f>
        <v>0</v>
      </c>
    </row>
    <row r="40" spans="1:5" s="41" customFormat="1" ht="30.75" x14ac:dyDescent="0.25">
      <c r="A40" s="237" t="s">
        <v>651</v>
      </c>
      <c r="B40" s="231" t="s">
        <v>275</v>
      </c>
      <c r="C40" s="233">
        <f>C41</f>
        <v>210945000</v>
      </c>
      <c r="D40" s="233">
        <f>D41</f>
        <v>0</v>
      </c>
      <c r="E40" s="233">
        <f>E41</f>
        <v>0</v>
      </c>
    </row>
    <row r="41" spans="1:5" ht="15.75" x14ac:dyDescent="0.25">
      <c r="A41" s="230" t="s">
        <v>652</v>
      </c>
      <c r="B41" s="231" t="s">
        <v>365</v>
      </c>
      <c r="C41" s="233">
        <f>'Приложение 3'!F234</f>
        <v>210945000</v>
      </c>
      <c r="D41" s="233">
        <f>'Приложение 3'!G234</f>
        <v>0</v>
      </c>
      <c r="E41" s="233">
        <f>'Приложение 3'!H234</f>
        <v>0</v>
      </c>
    </row>
    <row r="42" spans="1:5" ht="30.75" x14ac:dyDescent="0.25">
      <c r="A42" s="237" t="s">
        <v>653</v>
      </c>
      <c r="B42" s="231" t="s">
        <v>278</v>
      </c>
      <c r="C42" s="233">
        <f>SUM(C44:C54)</f>
        <v>334620751.73999995</v>
      </c>
      <c r="D42" s="233">
        <f>SUM(D44:D53)</f>
        <v>11741386.74</v>
      </c>
      <c r="E42" s="233">
        <f>SUM(E44:E53)</f>
        <v>0</v>
      </c>
    </row>
    <row r="43" spans="1:5" ht="15.75" x14ac:dyDescent="0.25">
      <c r="A43" s="237"/>
      <c r="B43" s="238"/>
      <c r="C43" s="233"/>
      <c r="D43" s="233"/>
      <c r="E43" s="233"/>
    </row>
    <row r="44" spans="1:5" ht="15.75" x14ac:dyDescent="0.25">
      <c r="A44" s="230" t="s">
        <v>654</v>
      </c>
      <c r="B44" s="239" t="s">
        <v>339</v>
      </c>
      <c r="C44" s="233">
        <f>127924770.73+1290028.8+2922931+35000000+2.22+154600+330158+5725114.2+32649317.89+5876753.77</f>
        <v>211873676.60999998</v>
      </c>
      <c r="D44" s="233">
        <v>11741386.74</v>
      </c>
      <c r="E44" s="233"/>
    </row>
    <row r="45" spans="1:5" ht="15.75" x14ac:dyDescent="0.25">
      <c r="A45" s="230" t="s">
        <v>655</v>
      </c>
      <c r="B45" s="238" t="s">
        <v>341</v>
      </c>
      <c r="C45" s="233">
        <f>10641720+1443838+558148.8+15504823.2+1529878.58</f>
        <v>29678408.579999998</v>
      </c>
      <c r="D45" s="233"/>
      <c r="E45" s="233"/>
    </row>
    <row r="46" spans="1:5" ht="15.75" x14ac:dyDescent="0.25">
      <c r="A46" s="230" t="s">
        <v>656</v>
      </c>
      <c r="B46" s="238" t="s">
        <v>343</v>
      </c>
      <c r="C46" s="233">
        <f>33121770+519104.4</f>
        <v>33640874.399999999</v>
      </c>
      <c r="D46" s="233"/>
      <c r="E46" s="233"/>
    </row>
    <row r="47" spans="1:5" ht="15.75" x14ac:dyDescent="0.25">
      <c r="A47" s="230" t="s">
        <v>657</v>
      </c>
      <c r="B47" s="231" t="s">
        <v>345</v>
      </c>
      <c r="C47" s="233">
        <f>320000+6848472.9+788910.2</f>
        <v>7957383.1000000006</v>
      </c>
      <c r="D47" s="233"/>
      <c r="E47" s="233"/>
    </row>
    <row r="48" spans="1:5" ht="15.75" x14ac:dyDescent="0.25">
      <c r="A48" s="230" t="s">
        <v>658</v>
      </c>
      <c r="B48" s="231" t="s">
        <v>347</v>
      </c>
      <c r="C48" s="233">
        <f>2487000+397836.48</f>
        <v>2884836.48</v>
      </c>
      <c r="D48" s="233"/>
      <c r="E48" s="233"/>
    </row>
    <row r="49" spans="1:5" ht="15.75" x14ac:dyDescent="0.25">
      <c r="A49" s="230" t="s">
        <v>659</v>
      </c>
      <c r="B49" s="231" t="s">
        <v>349</v>
      </c>
      <c r="C49" s="233">
        <f>600000+1076920+849659.62+33388.46+901211.25+300000+2261000+742582.71+195217.53</f>
        <v>6959979.5700000003</v>
      </c>
      <c r="D49" s="233"/>
      <c r="E49" s="233"/>
    </row>
    <row r="50" spans="1:5" ht="15.75" x14ac:dyDescent="0.25">
      <c r="A50" s="230" t="s">
        <v>660</v>
      </c>
      <c r="B50" s="231" t="s">
        <v>351</v>
      </c>
      <c r="C50" s="233">
        <f>6600000+1517876.4+1500000</f>
        <v>9617876.4000000004</v>
      </c>
      <c r="D50" s="233"/>
      <c r="E50" s="233"/>
    </row>
    <row r="51" spans="1:5" ht="15.75" x14ac:dyDescent="0.25">
      <c r="A51" s="230" t="s">
        <v>661</v>
      </c>
      <c r="B51" s="231" t="s">
        <v>353</v>
      </c>
      <c r="C51" s="233">
        <f>782942.02+2261000+680719.82+311988</f>
        <v>4036649.84</v>
      </c>
      <c r="D51" s="233"/>
      <c r="E51" s="233"/>
    </row>
    <row r="52" spans="1:5" ht="15.75" x14ac:dyDescent="0.25">
      <c r="A52" s="230" t="s">
        <v>662</v>
      </c>
      <c r="B52" s="231" t="s">
        <v>355</v>
      </c>
      <c r="C52" s="233">
        <f>21052125.66+624364.16</f>
        <v>21676489.82</v>
      </c>
      <c r="D52" s="233"/>
      <c r="E52" s="233"/>
    </row>
    <row r="53" spans="1:5" ht="15.75" x14ac:dyDescent="0.25">
      <c r="A53" s="230" t="s">
        <v>663</v>
      </c>
      <c r="B53" s="231" t="s">
        <v>357</v>
      </c>
      <c r="C53" s="233">
        <f>3907885+417443.58</f>
        <v>4325328.58</v>
      </c>
      <c r="D53" s="233"/>
      <c r="E53" s="233"/>
    </row>
    <row r="54" spans="1:5" ht="15.75" x14ac:dyDescent="0.25">
      <c r="A54" s="230" t="s">
        <v>664</v>
      </c>
      <c r="B54" s="231" t="s">
        <v>359</v>
      </c>
      <c r="C54" s="325">
        <v>1969248.36</v>
      </c>
      <c r="D54" s="233"/>
      <c r="E54" s="233"/>
    </row>
    <row r="55" spans="1:5" s="242" customFormat="1" ht="15.75" x14ac:dyDescent="0.25">
      <c r="A55" s="240"/>
      <c r="B55" s="240" t="s">
        <v>167</v>
      </c>
      <c r="C55" s="241">
        <f>C13+C37+C39+C25</f>
        <v>860183816.50999999</v>
      </c>
      <c r="D55" s="241">
        <f>D13+D37+D39+D25</f>
        <v>232026286.74000001</v>
      </c>
      <c r="E55" s="241">
        <f>E13+E37+E39+E25</f>
        <v>212358210</v>
      </c>
    </row>
    <row r="56" spans="1:5" ht="15.75" x14ac:dyDescent="0.25">
      <c r="B56" s="239"/>
      <c r="C56" s="243"/>
      <c r="D56" s="243"/>
      <c r="E56" s="243"/>
    </row>
  </sheetData>
  <mergeCells count="1">
    <mergeCell ref="A10:E10"/>
  </mergeCells>
  <pageMargins left="0.70866141732283472" right="0.70866141732283472" top="0.74803149606299213" bottom="0.74803149606299213" header="0.31496062992125984" footer="0.31496062992125984"/>
  <pageSetup paperSize="9" scale="65" fitToHeight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"/>
  <sheetViews>
    <sheetView zoomScaleNormal="100" workbookViewId="0">
      <selection activeCell="C7" sqref="C7:D8"/>
    </sheetView>
  </sheetViews>
  <sheetFormatPr defaultRowHeight="15" x14ac:dyDescent="0.25"/>
  <cols>
    <col min="1" max="1" width="7.5703125" style="40" customWidth="1"/>
    <col min="2" max="2" width="79.5703125" style="40" customWidth="1"/>
    <col min="3" max="3" width="21.7109375" style="224" customWidth="1"/>
    <col min="4" max="4" width="23.7109375" style="224" customWidth="1"/>
    <col min="5" max="5" width="21.7109375" style="224" customWidth="1"/>
    <col min="6" max="7" width="14.140625" customWidth="1"/>
    <col min="8" max="9" width="37" customWidth="1"/>
  </cols>
  <sheetData>
    <row r="2" spans="1:5" ht="18.75" x14ac:dyDescent="0.3">
      <c r="B2" s="246"/>
      <c r="C2" s="223" t="s">
        <v>296</v>
      </c>
    </row>
    <row r="3" spans="1:5" ht="18.75" x14ac:dyDescent="0.3">
      <c r="B3" s="247"/>
      <c r="C3" s="223" t="s">
        <v>192</v>
      </c>
    </row>
    <row r="4" spans="1:5" ht="18.75" x14ac:dyDescent="0.3">
      <c r="B4" s="247"/>
      <c r="C4" s="223" t="s">
        <v>17</v>
      </c>
    </row>
    <row r="5" spans="1:5" ht="18.75" x14ac:dyDescent="0.3">
      <c r="B5" s="246"/>
      <c r="C5" s="223" t="s">
        <v>18</v>
      </c>
    </row>
    <row r="6" spans="1:5" ht="18.75" x14ac:dyDescent="0.3">
      <c r="B6" s="247"/>
      <c r="C6" s="223" t="s">
        <v>19</v>
      </c>
    </row>
    <row r="7" spans="1:5" ht="18.75" x14ac:dyDescent="0.3">
      <c r="B7" s="247"/>
      <c r="C7" s="223" t="s">
        <v>699</v>
      </c>
    </row>
    <row r="8" spans="1:5" ht="18.75" x14ac:dyDescent="0.3">
      <c r="C8" s="223" t="s">
        <v>700</v>
      </c>
    </row>
    <row r="11" spans="1:5" ht="41.25" customHeight="1" x14ac:dyDescent="0.25">
      <c r="A11" s="392" t="s">
        <v>438</v>
      </c>
      <c r="B11" s="392"/>
      <c r="C11" s="392"/>
      <c r="D11" s="392"/>
      <c r="E11" s="392"/>
    </row>
    <row r="12" spans="1:5" x14ac:dyDescent="0.25">
      <c r="E12" s="225" t="s">
        <v>164</v>
      </c>
    </row>
    <row r="13" spans="1:5" x14ac:dyDescent="0.25">
      <c r="A13" s="248"/>
      <c r="B13" s="249" t="s">
        <v>369</v>
      </c>
      <c r="C13" s="250" t="s">
        <v>22</v>
      </c>
      <c r="D13" s="250" t="s">
        <v>152</v>
      </c>
      <c r="E13" s="250" t="s">
        <v>434</v>
      </c>
    </row>
    <row r="14" spans="1:5" ht="15.75" x14ac:dyDescent="0.25">
      <c r="A14" s="251"/>
      <c r="B14" s="228" t="s">
        <v>370</v>
      </c>
      <c r="C14" s="235">
        <f>C18+C21+C27+C24</f>
        <v>856984233.51999855</v>
      </c>
      <c r="D14" s="235">
        <f>D18+D21+D27+D24</f>
        <v>56156451.330000877</v>
      </c>
      <c r="E14" s="235">
        <f>E18+E21+E27+E24</f>
        <v>-18187852.219999313</v>
      </c>
    </row>
    <row r="15" spans="1:5" ht="15.75" x14ac:dyDescent="0.25">
      <c r="A15" s="252" t="s">
        <v>371</v>
      </c>
      <c r="B15" s="228" t="s">
        <v>366</v>
      </c>
      <c r="C15" s="235"/>
      <c r="D15" s="236" t="s">
        <v>372</v>
      </c>
      <c r="E15" s="236"/>
    </row>
    <row r="16" spans="1:5" ht="15.75" hidden="1" x14ac:dyDescent="0.25">
      <c r="A16" s="253" t="s">
        <v>373</v>
      </c>
      <c r="B16" s="231" t="s">
        <v>374</v>
      </c>
      <c r="C16" s="232"/>
      <c r="D16" s="236"/>
      <c r="E16" s="236"/>
    </row>
    <row r="17" spans="1:5" ht="15.75" hidden="1" x14ac:dyDescent="0.25">
      <c r="A17" s="253" t="s">
        <v>375</v>
      </c>
      <c r="B17" s="231" t="s">
        <v>376</v>
      </c>
      <c r="C17" s="232"/>
      <c r="D17" s="236"/>
      <c r="E17" s="236"/>
    </row>
    <row r="18" spans="1:5" ht="15.75" x14ac:dyDescent="0.25">
      <c r="A18" s="252" t="s">
        <v>377</v>
      </c>
      <c r="B18" s="228" t="s">
        <v>378</v>
      </c>
      <c r="C18" s="235">
        <f>C19+C20</f>
        <v>0</v>
      </c>
      <c r="D18" s="235">
        <f>D19+D20</f>
        <v>0</v>
      </c>
      <c r="E18" s="235">
        <f>E19+E20</f>
        <v>0</v>
      </c>
    </row>
    <row r="19" spans="1:5" ht="15.75" hidden="1" x14ac:dyDescent="0.25">
      <c r="A19" s="253" t="s">
        <v>379</v>
      </c>
      <c r="B19" s="231" t="s">
        <v>374</v>
      </c>
      <c r="C19" s="232">
        <v>0</v>
      </c>
      <c r="D19" s="236"/>
      <c r="E19" s="236"/>
    </row>
    <row r="20" spans="1:5" ht="15.75" hidden="1" x14ac:dyDescent="0.25">
      <c r="A20" s="253" t="s">
        <v>380</v>
      </c>
      <c r="B20" s="231" t="s">
        <v>376</v>
      </c>
      <c r="C20" s="232"/>
      <c r="D20" s="236"/>
      <c r="E20" s="236"/>
    </row>
    <row r="21" spans="1:5" ht="15.75" x14ac:dyDescent="0.25">
      <c r="A21" s="252" t="s">
        <v>381</v>
      </c>
      <c r="B21" s="228" t="s">
        <v>382</v>
      </c>
      <c r="C21" s="235">
        <f>C22+C23</f>
        <v>0</v>
      </c>
      <c r="D21" s="235">
        <f>D22+D23</f>
        <v>0</v>
      </c>
      <c r="E21" s="235">
        <f>E22+E23</f>
        <v>0</v>
      </c>
    </row>
    <row r="22" spans="1:5" ht="15.75" hidden="1" x14ac:dyDescent="0.25">
      <c r="A22" s="253" t="s">
        <v>383</v>
      </c>
      <c r="B22" s="231" t="s">
        <v>374</v>
      </c>
      <c r="C22" s="233"/>
      <c r="D22" s="236"/>
      <c r="E22" s="254"/>
    </row>
    <row r="23" spans="1:5" ht="15.75" hidden="1" x14ac:dyDescent="0.25">
      <c r="A23" s="253" t="s">
        <v>384</v>
      </c>
      <c r="B23" s="231" t="s">
        <v>376</v>
      </c>
      <c r="C23" s="244"/>
      <c r="D23" s="236"/>
      <c r="E23" s="236"/>
    </row>
    <row r="24" spans="1:5" ht="31.5" x14ac:dyDescent="0.25">
      <c r="A24" s="252" t="s">
        <v>361</v>
      </c>
      <c r="B24" s="228" t="s">
        <v>385</v>
      </c>
      <c r="C24" s="235">
        <f>C25+C26</f>
        <v>856984233.51999855</v>
      </c>
      <c r="D24" s="235">
        <f>D25+D26</f>
        <v>56156451.330000877</v>
      </c>
      <c r="E24" s="235">
        <f>E25+E26</f>
        <v>-18187852.219999313</v>
      </c>
    </row>
    <row r="25" spans="1:5" ht="15.75" x14ac:dyDescent="0.25">
      <c r="A25" s="253" t="s">
        <v>386</v>
      </c>
      <c r="B25" s="231" t="s">
        <v>387</v>
      </c>
      <c r="C25" s="232">
        <f>-Приложение_1!C128</f>
        <v>-4909330909.9500008</v>
      </c>
      <c r="D25" s="232">
        <f>-Приложение_1!D128</f>
        <v>-4127459167.0699997</v>
      </c>
      <c r="E25" s="232">
        <f>-Приложение_1!E128</f>
        <v>-4202330495.7799997</v>
      </c>
    </row>
    <row r="26" spans="1:5" ht="15.75" x14ac:dyDescent="0.25">
      <c r="A26" s="253" t="s">
        <v>388</v>
      </c>
      <c r="B26" s="231" t="s">
        <v>389</v>
      </c>
      <c r="C26" s="232">
        <f>'Приложение 5'!G16+'Приложение 6'!H13</f>
        <v>5766315143.4699993</v>
      </c>
      <c r="D26" s="232">
        <f>'Приложение 5'!H16+'Приложение 6'!I13</f>
        <v>4183615618.4000006</v>
      </c>
      <c r="E26" s="232">
        <f>'Приложение 5'!I16+'Приложение 6'!J13</f>
        <v>4184142643.5600004</v>
      </c>
    </row>
    <row r="27" spans="1:5" ht="31.5" x14ac:dyDescent="0.25">
      <c r="A27" s="252" t="s">
        <v>363</v>
      </c>
      <c r="B27" s="228" t="s">
        <v>390</v>
      </c>
      <c r="C27" s="235">
        <f>C35</f>
        <v>0</v>
      </c>
      <c r="D27" s="235">
        <f>D35</f>
        <v>0</v>
      </c>
      <c r="E27" s="235">
        <f>E35</f>
        <v>0</v>
      </c>
    </row>
    <row r="28" spans="1:5" ht="31.5" hidden="1" x14ac:dyDescent="0.25">
      <c r="A28" s="252" t="s">
        <v>391</v>
      </c>
      <c r="B28" s="228" t="s">
        <v>392</v>
      </c>
      <c r="C28" s="235">
        <v>0</v>
      </c>
      <c r="D28" s="235">
        <v>0</v>
      </c>
      <c r="E28" s="235">
        <v>0</v>
      </c>
    </row>
    <row r="29" spans="1:5" ht="15.75" hidden="1" x14ac:dyDescent="0.25">
      <c r="A29" s="253" t="s">
        <v>393</v>
      </c>
      <c r="B29" s="231" t="s">
        <v>394</v>
      </c>
      <c r="C29" s="232"/>
      <c r="D29" s="236"/>
      <c r="E29" s="236"/>
    </row>
    <row r="30" spans="1:5" ht="15.75" hidden="1" x14ac:dyDescent="0.25">
      <c r="A30" s="253" t="s">
        <v>395</v>
      </c>
      <c r="B30" s="231" t="s">
        <v>396</v>
      </c>
      <c r="C30" s="232"/>
      <c r="D30" s="236"/>
      <c r="E30" s="236"/>
    </row>
    <row r="31" spans="1:5" ht="31.5" hidden="1" x14ac:dyDescent="0.25">
      <c r="A31" s="252" t="s">
        <v>397</v>
      </c>
      <c r="B31" s="228" t="s">
        <v>398</v>
      </c>
      <c r="C31" s="235">
        <v>0</v>
      </c>
      <c r="D31" s="235">
        <v>0</v>
      </c>
      <c r="E31" s="235">
        <v>0</v>
      </c>
    </row>
    <row r="32" spans="1:5" ht="15.75" hidden="1" x14ac:dyDescent="0.25">
      <c r="A32" s="253" t="s">
        <v>399</v>
      </c>
      <c r="B32" s="231" t="s">
        <v>400</v>
      </c>
      <c r="C32" s="232"/>
      <c r="D32" s="236"/>
      <c r="E32" s="236"/>
    </row>
    <row r="33" spans="1:5" ht="15.75" hidden="1" x14ac:dyDescent="0.25">
      <c r="A33" s="253" t="s">
        <v>401</v>
      </c>
      <c r="B33" s="231" t="s">
        <v>402</v>
      </c>
      <c r="C33" s="232"/>
      <c r="D33" s="236"/>
      <c r="E33" s="236"/>
    </row>
    <row r="34" spans="1:5" ht="15.75" hidden="1" x14ac:dyDescent="0.25">
      <c r="A34" s="252" t="s">
        <v>403</v>
      </c>
      <c r="B34" s="228" t="s">
        <v>404</v>
      </c>
      <c r="C34" s="235">
        <v>0</v>
      </c>
      <c r="D34" s="235">
        <v>0</v>
      </c>
      <c r="E34" s="235">
        <v>0</v>
      </c>
    </row>
    <row r="35" spans="1:5" ht="31.5" hidden="1" x14ac:dyDescent="0.25">
      <c r="A35" s="252" t="s">
        <v>405</v>
      </c>
      <c r="B35" s="228" t="s">
        <v>406</v>
      </c>
      <c r="C35" s="235">
        <f>SUM(C37:C37)</f>
        <v>0</v>
      </c>
      <c r="D35" s="235">
        <f>SUM(D37:D37)</f>
        <v>0</v>
      </c>
      <c r="E35" s="235">
        <f>SUM(E37:E37)</f>
        <v>0</v>
      </c>
    </row>
    <row r="36" spans="1:5" ht="15.75" hidden="1" x14ac:dyDescent="0.25">
      <c r="A36" s="253" t="s">
        <v>407</v>
      </c>
      <c r="B36" s="231" t="s">
        <v>408</v>
      </c>
      <c r="C36" s="235"/>
      <c r="D36" s="235"/>
      <c r="E36" s="235"/>
    </row>
    <row r="37" spans="1:5" ht="15.75" hidden="1" x14ac:dyDescent="0.25">
      <c r="A37" s="253" t="s">
        <v>409</v>
      </c>
      <c r="B37" s="231" t="s">
        <v>410</v>
      </c>
      <c r="C37" s="255">
        <v>0</v>
      </c>
      <c r="D37" s="255"/>
      <c r="E37" s="233">
        <v>0</v>
      </c>
    </row>
    <row r="38" spans="1:5" ht="15.75" hidden="1" x14ac:dyDescent="0.25">
      <c r="A38" s="252" t="s">
        <v>411</v>
      </c>
      <c r="B38" s="228" t="s">
        <v>367</v>
      </c>
      <c r="C38" s="235">
        <f>C39</f>
        <v>0</v>
      </c>
      <c r="D38" s="235">
        <f>D39</f>
        <v>0</v>
      </c>
      <c r="E38" s="235">
        <f>E39</f>
        <v>0</v>
      </c>
    </row>
    <row r="39" spans="1:5" ht="15.75" hidden="1" x14ac:dyDescent="0.25">
      <c r="A39" s="253" t="s">
        <v>412</v>
      </c>
      <c r="B39" s="231" t="s">
        <v>368</v>
      </c>
      <c r="C39" s="232"/>
      <c r="D39" s="236"/>
      <c r="E39" s="236"/>
    </row>
    <row r="41" spans="1:5" x14ac:dyDescent="0.25">
      <c r="C41" s="256"/>
      <c r="D41" s="256"/>
      <c r="E41" s="256"/>
    </row>
    <row r="44" spans="1:5" x14ac:dyDescent="0.25">
      <c r="B44" s="245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topLeftCell="D1" zoomScaleNormal="100" workbookViewId="0">
      <selection activeCell="E7" sqref="E7:F8"/>
    </sheetView>
  </sheetViews>
  <sheetFormatPr defaultColWidth="9.140625" defaultRowHeight="15.75" x14ac:dyDescent="0.25"/>
  <cols>
    <col min="1" max="1" width="9.140625" style="95"/>
    <col min="2" max="2" width="57.7109375" style="91" customWidth="1"/>
    <col min="3" max="3" width="20" style="91" customWidth="1"/>
    <col min="4" max="4" width="17.28515625" style="91" customWidth="1"/>
    <col min="5" max="6" width="17.140625" style="91" customWidth="1"/>
    <col min="7" max="16384" width="9.140625" style="91"/>
  </cols>
  <sheetData>
    <row r="2" spans="1:6" x14ac:dyDescent="0.25">
      <c r="E2" s="131" t="s">
        <v>298</v>
      </c>
    </row>
    <row r="3" spans="1:6" x14ac:dyDescent="0.25">
      <c r="E3" s="131" t="s">
        <v>192</v>
      </c>
    </row>
    <row r="4" spans="1:6" x14ac:dyDescent="0.25">
      <c r="E4" s="131" t="s">
        <v>17</v>
      </c>
    </row>
    <row r="5" spans="1:6" x14ac:dyDescent="0.25">
      <c r="E5" s="131" t="s">
        <v>18</v>
      </c>
    </row>
    <row r="6" spans="1:6" x14ac:dyDescent="0.25">
      <c r="E6" s="131" t="s">
        <v>19</v>
      </c>
    </row>
    <row r="7" spans="1:6" x14ac:dyDescent="0.25">
      <c r="E7" s="131" t="s">
        <v>699</v>
      </c>
    </row>
    <row r="8" spans="1:6" x14ac:dyDescent="0.25">
      <c r="E8" s="131" t="s">
        <v>700</v>
      </c>
    </row>
    <row r="11" spans="1:6" ht="15.75" customHeight="1" x14ac:dyDescent="0.25">
      <c r="A11" s="393" t="s">
        <v>413</v>
      </c>
      <c r="B11" s="393"/>
      <c r="C11" s="393"/>
      <c r="D11" s="393"/>
      <c r="E11" s="393"/>
      <c r="F11" s="393"/>
    </row>
    <row r="12" spans="1:6" x14ac:dyDescent="0.25">
      <c r="F12" s="380" t="s">
        <v>164</v>
      </c>
    </row>
    <row r="13" spans="1:6" ht="30" x14ac:dyDescent="0.25">
      <c r="A13" s="146" t="s">
        <v>414</v>
      </c>
      <c r="B13" s="261" t="s">
        <v>415</v>
      </c>
      <c r="C13" s="261" t="s">
        <v>416</v>
      </c>
      <c r="D13" s="261" t="s">
        <v>22</v>
      </c>
      <c r="E13" s="261" t="s">
        <v>152</v>
      </c>
      <c r="F13" s="261" t="s">
        <v>434</v>
      </c>
    </row>
    <row r="14" spans="1:6" s="90" customFormat="1" x14ac:dyDescent="0.25">
      <c r="A14" s="145"/>
      <c r="B14" s="262" t="s">
        <v>147</v>
      </c>
      <c r="C14" s="270">
        <f>SUM(D14:F14)</f>
        <v>358262712.64000005</v>
      </c>
      <c r="D14" s="270">
        <f>SUM(D15:D28)</f>
        <v>286257140.70000005</v>
      </c>
      <c r="E14" s="270">
        <f t="shared" ref="E14:F14" si="0">SUM(E15:E28)</f>
        <v>20864945.140000001</v>
      </c>
      <c r="F14" s="270">
        <f t="shared" si="0"/>
        <v>51140626.799999997</v>
      </c>
    </row>
    <row r="15" spans="1:6" ht="45.75" x14ac:dyDescent="0.25">
      <c r="A15" s="85">
        <v>1</v>
      </c>
      <c r="B15" s="263" t="s">
        <v>417</v>
      </c>
      <c r="C15" s="271">
        <f t="shared" ref="C15:C21" si="1">D15+E15+F15</f>
        <v>37071452.280000001</v>
      </c>
      <c r="D15" s="271">
        <f>79285503.23-35000000+1132644.91-6889766-1456929.86</f>
        <v>37071452.280000001</v>
      </c>
      <c r="E15" s="271">
        <v>0</v>
      </c>
      <c r="F15" s="271">
        <v>0</v>
      </c>
    </row>
    <row r="16" spans="1:6" ht="150.75" x14ac:dyDescent="0.25">
      <c r="A16" s="264">
        <v>3</v>
      </c>
      <c r="B16" s="147" t="s">
        <v>582</v>
      </c>
      <c r="C16" s="271">
        <f t="shared" si="1"/>
        <v>370000</v>
      </c>
      <c r="D16" s="271">
        <v>370000</v>
      </c>
      <c r="E16" s="271">
        <v>0</v>
      </c>
      <c r="F16" s="271">
        <v>0</v>
      </c>
    </row>
    <row r="17" spans="1:6" ht="105.75" x14ac:dyDescent="0.25">
      <c r="A17" s="264"/>
      <c r="B17" s="147" t="s">
        <v>583</v>
      </c>
      <c r="C17" s="271">
        <f t="shared" si="1"/>
        <v>580000</v>
      </c>
      <c r="D17" s="271">
        <v>580000</v>
      </c>
      <c r="E17" s="271">
        <v>0</v>
      </c>
      <c r="F17" s="271">
        <v>0</v>
      </c>
    </row>
    <row r="18" spans="1:6" ht="45.75" x14ac:dyDescent="0.25">
      <c r="A18" s="264">
        <v>2</v>
      </c>
      <c r="B18" s="147" t="s">
        <v>418</v>
      </c>
      <c r="C18" s="271">
        <f t="shared" si="1"/>
        <v>196231491.44999999</v>
      </c>
      <c r="D18" s="271">
        <f>135050365.47+61158599.25+22526.73</f>
        <v>196231491.44999999</v>
      </c>
      <c r="E18" s="271">
        <v>0</v>
      </c>
      <c r="F18" s="271">
        <v>0</v>
      </c>
    </row>
    <row r="19" spans="1:6" x14ac:dyDescent="0.25">
      <c r="A19" s="264">
        <v>3</v>
      </c>
      <c r="B19" s="147" t="s">
        <v>419</v>
      </c>
      <c r="C19" s="271">
        <f t="shared" si="1"/>
        <v>92054750.830000013</v>
      </c>
      <c r="D19" s="271">
        <f>42167319.68+828473.45-5000000</f>
        <v>37995793.130000003</v>
      </c>
      <c r="E19" s="271">
        <f>42167319.68-30275681.66</f>
        <v>11891638.02</v>
      </c>
      <c r="F19" s="271">
        <v>42167319.68</v>
      </c>
    </row>
    <row r="20" spans="1:6" ht="30.75" x14ac:dyDescent="0.25">
      <c r="A20" s="264">
        <v>4</v>
      </c>
      <c r="B20" s="147" t="s">
        <v>420</v>
      </c>
      <c r="C20" s="271">
        <f t="shared" si="1"/>
        <v>24992762.189999998</v>
      </c>
      <c r="D20" s="271">
        <f>8973307.12-226646.57-194712.6-1505800</f>
        <v>7046147.9499999993</v>
      </c>
      <c r="E20" s="271">
        <v>8973307.1199999992</v>
      </c>
      <c r="F20" s="271">
        <v>8973307.1199999992</v>
      </c>
    </row>
    <row r="21" spans="1:6" ht="45.75" x14ac:dyDescent="0.25">
      <c r="A21" s="85">
        <v>5</v>
      </c>
      <c r="B21" s="147" t="s">
        <v>462</v>
      </c>
      <c r="C21" s="271">
        <f t="shared" si="1"/>
        <v>0</v>
      </c>
      <c r="D21" s="271">
        <f>23957900-23957900</f>
        <v>0</v>
      </c>
      <c r="E21" s="271">
        <v>0</v>
      </c>
      <c r="F21" s="271">
        <v>0</v>
      </c>
    </row>
    <row r="22" spans="1:6" ht="45.75" hidden="1" x14ac:dyDescent="0.25">
      <c r="A22" s="85">
        <v>7</v>
      </c>
      <c r="B22" s="381" t="s">
        <v>421</v>
      </c>
      <c r="C22" s="271">
        <f t="shared" ref="C22:C28" si="2">SUM(D22:F22)</f>
        <v>0</v>
      </c>
      <c r="D22" s="271"/>
      <c r="E22" s="271"/>
      <c r="F22" s="271">
        <v>0</v>
      </c>
    </row>
    <row r="23" spans="1:6" ht="45.75" hidden="1" x14ac:dyDescent="0.25">
      <c r="A23" s="85">
        <v>10</v>
      </c>
      <c r="B23" s="381" t="s">
        <v>422</v>
      </c>
      <c r="C23" s="271">
        <f t="shared" si="2"/>
        <v>0</v>
      </c>
      <c r="D23" s="271"/>
      <c r="E23" s="271"/>
      <c r="F23" s="271">
        <v>0</v>
      </c>
    </row>
    <row r="24" spans="1:6" ht="30.75" hidden="1" x14ac:dyDescent="0.25">
      <c r="A24" s="85">
        <v>11</v>
      </c>
      <c r="B24" s="381" t="s">
        <v>423</v>
      </c>
      <c r="C24" s="271">
        <f t="shared" si="2"/>
        <v>0</v>
      </c>
      <c r="D24" s="271"/>
      <c r="E24" s="271">
        <v>0</v>
      </c>
      <c r="F24" s="271">
        <v>0</v>
      </c>
    </row>
    <row r="25" spans="1:6" ht="75.75" x14ac:dyDescent="0.25">
      <c r="A25" s="85">
        <v>6</v>
      </c>
      <c r="B25" s="72" t="s">
        <v>620</v>
      </c>
      <c r="C25" s="271">
        <f t="shared" si="2"/>
        <v>929190.66</v>
      </c>
      <c r="D25" s="271">
        <v>929190.66</v>
      </c>
      <c r="E25" s="271">
        <v>0</v>
      </c>
      <c r="F25" s="271">
        <v>0</v>
      </c>
    </row>
    <row r="26" spans="1:6" s="95" customFormat="1" ht="90" x14ac:dyDescent="0.2">
      <c r="A26" s="127">
        <v>7</v>
      </c>
      <c r="B26" s="147" t="s">
        <v>671</v>
      </c>
      <c r="C26" s="271">
        <f t="shared" si="2"/>
        <v>2385956.0099999998</v>
      </c>
      <c r="D26" s="271">
        <f>1861127.67+524828.34</f>
        <v>2385956.0099999998</v>
      </c>
      <c r="E26" s="271">
        <v>0</v>
      </c>
      <c r="F26" s="271">
        <v>0</v>
      </c>
    </row>
    <row r="27" spans="1:6" ht="45.75" x14ac:dyDescent="0.25">
      <c r="A27" s="146">
        <v>8</v>
      </c>
      <c r="B27" s="147" t="s">
        <v>674</v>
      </c>
      <c r="C27" s="271">
        <f t="shared" si="2"/>
        <v>981509.22</v>
      </c>
      <c r="D27" s="111">
        <v>981509.22</v>
      </c>
      <c r="E27" s="111"/>
      <c r="F27" s="111"/>
    </row>
    <row r="28" spans="1:6" ht="75.75" x14ac:dyDescent="0.25">
      <c r="A28" s="146">
        <v>9</v>
      </c>
      <c r="B28" s="147" t="s">
        <v>696</v>
      </c>
      <c r="C28" s="271">
        <f t="shared" si="2"/>
        <v>2665600</v>
      </c>
      <c r="D28" s="111">
        <v>2665600</v>
      </c>
      <c r="E28" s="111">
        <v>0</v>
      </c>
      <c r="F28" s="111">
        <v>0</v>
      </c>
    </row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Приложение_1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ТолмачеваС</dc:creator>
  <cp:lastModifiedBy>Вита Юрочкина</cp:lastModifiedBy>
  <cp:lastPrinted>2023-12-21T07:16:19Z</cp:lastPrinted>
  <dcterms:created xsi:type="dcterms:W3CDTF">2020-12-18T04:06:31Z</dcterms:created>
  <dcterms:modified xsi:type="dcterms:W3CDTF">2024-01-12T02:05:04Z</dcterms:modified>
</cp:coreProperties>
</file>